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threadedComments/threadedComment2.xml" ContentType="application/vnd.ms-excel.threadedcomments+xml"/>
  <Override PartName="/xl/comments7.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departmentfortransportuk-my.sharepoint.com/personal/phil_hawyes_dft_gov_uk/Documents/"/>
    </mc:Choice>
  </mc:AlternateContent>
  <xr:revisionPtr revIDLastSave="13" documentId="8_{521AA632-394A-4146-9BD7-EE7D1699934B}" xr6:coauthVersionLast="47" xr6:coauthVersionMax="47" xr10:uidLastSave="{379A8806-0EFF-40E9-BBCE-21AF3A664709}"/>
  <bookViews>
    <workbookView xWindow="-110" yWindow="-110" windowWidth="19420" windowHeight="10420" firstSheet="7" activeTab="12" xr2:uid="{9B19B083-1673-4CA6-B439-F84DB5F86199}"/>
  </bookViews>
  <sheets>
    <sheet name="Instructions" sheetId="12" r:id="rId1"/>
    <sheet name="Version Control" sheetId="11" r:id="rId2"/>
    <sheet name="Building Description" sheetId="1" r:id="rId3"/>
    <sheet name="Health &amp; Safety" sheetId="4" r:id="rId4"/>
    <sheet name="Hard Services" sheetId="7" r:id="rId5"/>
    <sheet name="Cleaning and soft services" sheetId="6" r:id="rId6"/>
    <sheet name="Grounds" sheetId="3" r:id="rId7"/>
    <sheet name="Security" sheetId="5" r:id="rId8"/>
    <sheet name="Catering" sheetId="8" r:id="rId9"/>
    <sheet name="Environmental" sheetId="9" r:id="rId10"/>
    <sheet name="Longlist" sheetId="10" r:id="rId11"/>
    <sheet name="Data lists" sheetId="2" r:id="rId12"/>
    <sheet name="Service Matrix" sheetId="16" r:id="rId13"/>
    <sheet name="Estate Information" sheetId="17" r:id="rId14"/>
  </sheets>
  <externalReferences>
    <externalReference r:id="rId15"/>
    <externalReference r:id="rId16"/>
  </externalReferences>
  <definedNames>
    <definedName name="NUTSRegions">[1]Lookup!$C$3:$C$77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7" l="1"/>
  <c r="C28" i="17"/>
  <c r="C27" i="17"/>
  <c r="C20" i="17"/>
  <c r="C19" i="17"/>
  <c r="C18" i="17"/>
  <c r="C16" i="17"/>
  <c r="C15" i="17"/>
  <c r="C14" i="17"/>
  <c r="C12" i="17"/>
  <c r="C7" i="17"/>
  <c r="C6" i="17"/>
  <c r="C5" i="17"/>
  <c r="C4" i="17"/>
  <c r="C3" i="17"/>
  <c r="C2" i="17"/>
  <c r="E106" i="16"/>
  <c r="D70" i="16" s="1"/>
  <c r="E26" i="17" a="1"/>
  <c r="E26" i="17" s="1"/>
  <c r="E26" i="16" a="1"/>
  <c r="E26" i="16" s="1"/>
  <c r="E178" i="16"/>
  <c r="D142" i="16" s="1"/>
  <c r="E177" i="16"/>
  <c r="E2" i="16" s="1"/>
  <c r="E176" i="16"/>
  <c r="E155" i="16"/>
  <c r="D119" i="16" s="1"/>
  <c r="E154" i="16"/>
  <c r="D118" i="16" s="1"/>
  <c r="E153" i="16"/>
  <c r="D117" i="16" s="1"/>
  <c r="E152" i="16"/>
  <c r="D116" i="16" s="1"/>
  <c r="E151" i="16"/>
  <c r="D115" i="16" s="1"/>
  <c r="E150" i="16"/>
  <c r="D114" i="16" s="1"/>
  <c r="E149" i="16"/>
  <c r="D113" i="16" s="1"/>
  <c r="E148" i="16"/>
  <c r="D112" i="16" s="1"/>
  <c r="E147" i="16"/>
  <c r="D111" i="16" s="1"/>
  <c r="E146" i="16"/>
  <c r="D110" i="16" s="1"/>
  <c r="E145" i="16"/>
  <c r="D109" i="16" s="1"/>
  <c r="E144" i="16"/>
  <c r="D108" i="16" s="1"/>
  <c r="E143" i="16"/>
  <c r="D107" i="16" s="1"/>
  <c r="E142" i="16"/>
  <c r="D106" i="16" s="1"/>
  <c r="E141" i="16"/>
  <c r="D105" i="16" s="1"/>
  <c r="E140" i="16"/>
  <c r="D104" i="16" s="1"/>
  <c r="E139" i="16"/>
  <c r="D103" i="16" s="1"/>
  <c r="E138" i="16"/>
  <c r="D102" i="16" s="1"/>
  <c r="E137" i="16"/>
  <c r="D101" i="16" s="1"/>
  <c r="E136" i="16"/>
  <c r="D100" i="16" s="1"/>
  <c r="E135" i="16"/>
  <c r="D99" i="16" s="1"/>
  <c r="E134" i="16"/>
  <c r="D98" i="16" s="1"/>
  <c r="E133" i="16"/>
  <c r="D97" i="16" s="1"/>
  <c r="E132" i="16"/>
  <c r="D96" i="16" s="1"/>
  <c r="E131" i="16"/>
  <c r="D95" i="16" s="1"/>
  <c r="E130" i="16"/>
  <c r="D94" i="16" s="1"/>
  <c r="E129" i="16"/>
  <c r="E128" i="16"/>
  <c r="D92" i="16" s="1"/>
  <c r="E127" i="16"/>
  <c r="D91" i="16" s="1"/>
  <c r="E126" i="16"/>
  <c r="D90" i="16" s="1"/>
  <c r="E124" i="16"/>
  <c r="D88" i="16" s="1"/>
  <c r="E123" i="16"/>
  <c r="D87" i="16" s="1"/>
  <c r="E122" i="16"/>
  <c r="D86" i="16" s="1"/>
  <c r="E121" i="16"/>
  <c r="D85" i="16" s="1"/>
  <c r="E120" i="16" a="1"/>
  <c r="E120" i="16" s="1"/>
  <c r="D84" i="16" s="1"/>
  <c r="E119" i="16"/>
  <c r="D83" i="16" s="1"/>
  <c r="E118" i="16"/>
  <c r="D82" i="16" s="1"/>
  <c r="E117" i="16"/>
  <c r="D81" i="16" s="1"/>
  <c r="E116" i="16" a="1"/>
  <c r="E116" i="16" s="1"/>
  <c r="D80" i="16" s="1"/>
  <c r="E115" i="16"/>
  <c r="D79" i="16" s="1"/>
  <c r="E114" i="16"/>
  <c r="D78" i="16" s="1"/>
  <c r="E113" i="16"/>
  <c r="D77" i="16" s="1"/>
  <c r="E112" i="16"/>
  <c r="D76" i="16" s="1"/>
  <c r="E111" i="16"/>
  <c r="E110" i="16"/>
  <c r="D74" i="16" s="1"/>
  <c r="E107" i="16"/>
  <c r="D71" i="16" s="1"/>
  <c r="E105" i="16"/>
  <c r="D69" i="16" s="1"/>
  <c r="E104" i="16"/>
  <c r="D68" i="16" s="1"/>
  <c r="E103" i="16"/>
  <c r="D67" i="16" s="1"/>
  <c r="E102" i="16"/>
  <c r="D66" i="16" s="1"/>
  <c r="E101" i="16"/>
  <c r="D65" i="16" s="1"/>
  <c r="E100" i="16"/>
  <c r="D64" i="16" s="1"/>
  <c r="E99" i="16"/>
  <c r="E98" i="16"/>
  <c r="D62" i="16" s="1"/>
  <c r="E97" i="16"/>
  <c r="D61" i="16" s="1"/>
  <c r="E96" i="16" a="1"/>
  <c r="E96" i="16" s="1"/>
  <c r="D60" i="16" s="1"/>
  <c r="E95" i="16"/>
  <c r="D59" i="16" s="1"/>
  <c r="E94" i="16"/>
  <c r="D58" i="16" s="1"/>
  <c r="E93" i="16"/>
  <c r="D57" i="16" s="1"/>
  <c r="E92" i="16"/>
  <c r="D56" i="16" s="1"/>
  <c r="E91" i="16"/>
  <c r="E90" i="16"/>
  <c r="D54" i="16" s="1"/>
  <c r="E88" i="16"/>
  <c r="D52" i="16" s="1"/>
  <c r="E87" i="16"/>
  <c r="E85" i="16"/>
  <c r="D49" i="16" s="1"/>
  <c r="E81" i="16"/>
  <c r="D45" i="16" s="1"/>
  <c r="E80" i="16"/>
  <c r="D44" i="16" s="1"/>
  <c r="E77" i="16" a="1"/>
  <c r="E77" i="16" s="1"/>
  <c r="D41" i="16" s="1"/>
  <c r="E76" i="16"/>
  <c r="E75" i="16"/>
  <c r="D39" i="16" s="1"/>
  <c r="E74" i="16"/>
  <c r="D38" i="16" s="1"/>
  <c r="E73" i="16"/>
  <c r="D37" i="16" s="1"/>
  <c r="E72" i="16"/>
  <c r="D36" i="16" s="1"/>
  <c r="E71" i="16"/>
  <c r="D35" i="16" s="1"/>
  <c r="E70" i="16"/>
  <c r="D34" i="16" s="1"/>
  <c r="E69" i="16"/>
  <c r="D33" i="16" s="1"/>
  <c r="E68" i="16"/>
  <c r="D32" i="16" s="1"/>
  <c r="E67" i="16"/>
  <c r="E66" i="16"/>
  <c r="D30" i="16" s="1"/>
  <c r="E65" i="16"/>
  <c r="D29" i="16" s="1"/>
  <c r="E64" i="16"/>
  <c r="D28" i="16" s="1"/>
  <c r="E63" i="16"/>
  <c r="D27" i="16" s="1"/>
  <c r="E62" i="16"/>
  <c r="D26" i="16" s="1"/>
  <c r="E61" i="16" a="1"/>
  <c r="E61" i="16" s="1"/>
  <c r="D25" i="16" s="1"/>
  <c r="E60" i="16" a="1"/>
  <c r="E60" i="16" s="1"/>
  <c r="D24" i="16" s="1"/>
  <c r="E59" i="16"/>
  <c r="D23" i="16" s="1"/>
  <c r="E58" i="16"/>
  <c r="D22" i="16" s="1"/>
  <c r="E57" i="16" a="1"/>
  <c r="E57" i="16" s="1"/>
  <c r="E56" i="16"/>
  <c r="D20" i="16" s="1"/>
  <c r="E55" i="16"/>
  <c r="D19" i="16" s="1"/>
  <c r="E54" i="16"/>
  <c r="D18" i="16" s="1"/>
  <c r="E53" i="16"/>
  <c r="D17" i="16" s="1"/>
  <c r="E52" i="16"/>
  <c r="D16" i="16" s="1"/>
  <c r="E51" i="16"/>
  <c r="D15" i="16" s="1"/>
  <c r="E50" i="16"/>
  <c r="D14" i="16" s="1"/>
  <c r="E49" i="16"/>
  <c r="D13" i="16" s="1"/>
  <c r="E47" i="16" a="1"/>
  <c r="E47" i="16" s="1"/>
  <c r="D11" i="16" s="1"/>
  <c r="E45" i="16"/>
  <c r="D9" i="16" s="1"/>
  <c r="E44" i="16"/>
  <c r="E43" i="16" a="1"/>
  <c r="E43" i="16" s="1"/>
  <c r="D7" i="16" s="1"/>
  <c r="E42" i="16"/>
  <c r="D6" i="16" s="1"/>
  <c r="E41" i="16"/>
  <c r="E40" i="16"/>
  <c r="D4" i="16" s="1"/>
  <c r="E38" i="16"/>
  <c r="D2" i="16" s="1"/>
  <c r="E37" i="16"/>
  <c r="D1" i="16" s="1"/>
  <c r="E36" i="16"/>
  <c r="E33" i="16" a="1"/>
  <c r="E33" i="16" s="1"/>
  <c r="E34" i="16" s="1" a="1"/>
  <c r="E34" i="16" s="1"/>
  <c r="E30" i="16" a="1"/>
  <c r="E30" i="16" s="1"/>
  <c r="E31" i="16" s="1" a="1"/>
  <c r="E31" i="16" s="1"/>
  <c r="E27" i="16" a="1"/>
  <c r="E27" i="16" s="1"/>
  <c r="E28" i="16" s="1" a="1"/>
  <c r="E28" i="16" s="1"/>
  <c r="E24" i="16"/>
  <c r="E21" i="16" a="1"/>
  <c r="E21" i="16" s="1"/>
  <c r="E18" i="16" a="1"/>
  <c r="E18" i="16" s="1"/>
  <c r="E19" i="16" s="1" a="1"/>
  <c r="E19" i="16" s="1"/>
  <c r="E15" i="16" a="1"/>
  <c r="E15" i="16" s="1"/>
  <c r="E16" i="16" s="1" a="1"/>
  <c r="E16" i="16" s="1"/>
  <c r="E12" i="16" a="1"/>
  <c r="E12" i="16" s="1"/>
  <c r="E13" i="16" s="1" a="1"/>
  <c r="E13" i="16" s="1"/>
  <c r="E8" i="16" a="1"/>
  <c r="E8" i="16" s="1"/>
  <c r="E6" i="16" a="1"/>
  <c r="E6" i="16" s="1"/>
  <c r="E7" i="16" s="1" a="1"/>
  <c r="E7" i="16" s="1"/>
  <c r="E4" i="16" a="1"/>
  <c r="E4" i="16" s="1"/>
  <c r="E3" i="16" a="1"/>
  <c r="E3" i="16" s="1"/>
  <c r="E109" i="17"/>
  <c r="E108" i="17"/>
  <c r="D178" i="16"/>
  <c r="D177" i="16"/>
  <c r="D176" i="16"/>
  <c r="D175" i="16"/>
  <c r="D174" i="16"/>
  <c r="D173" i="16"/>
  <c r="D172" i="16"/>
  <c r="D171" i="16"/>
  <c r="D170" i="16"/>
  <c r="D169" i="16"/>
  <c r="D168" i="16"/>
  <c r="D167" i="16"/>
  <c r="D166" i="16"/>
  <c r="D165" i="16"/>
  <c r="D164" i="16"/>
  <c r="D163" i="16"/>
  <c r="D162" i="16"/>
  <c r="D161" i="16"/>
  <c r="D160" i="16"/>
  <c r="D159" i="16"/>
  <c r="D158" i="16"/>
  <c r="D157" i="16"/>
  <c r="D156" i="16"/>
  <c r="D155" i="16"/>
  <c r="D154" i="16"/>
  <c r="D153" i="16"/>
  <c r="D152" i="16"/>
  <c r="D151" i="16"/>
  <c r="D150" i="16"/>
  <c r="D149" i="16"/>
  <c r="D148" i="16"/>
  <c r="D147" i="16"/>
  <c r="D146" i="16"/>
  <c r="D145" i="16"/>
  <c r="D144" i="16"/>
  <c r="D143" i="16"/>
  <c r="D140" i="16"/>
  <c r="D139" i="16"/>
  <c r="D138" i="16"/>
  <c r="D137" i="16"/>
  <c r="D136" i="16"/>
  <c r="D135" i="16"/>
  <c r="D134" i="16"/>
  <c r="D133" i="16"/>
  <c r="D132" i="16"/>
  <c r="D131" i="16"/>
  <c r="D130" i="16"/>
  <c r="D129" i="16"/>
  <c r="D128" i="16"/>
  <c r="D127" i="16"/>
  <c r="D126" i="16"/>
  <c r="D125" i="16"/>
  <c r="D124" i="16"/>
  <c r="D123" i="16"/>
  <c r="D122" i="16"/>
  <c r="D121" i="16"/>
  <c r="D120" i="16"/>
  <c r="D93" i="16"/>
  <c r="D89" i="16"/>
  <c r="D75" i="16"/>
  <c r="D63" i="16"/>
  <c r="D55" i="16"/>
  <c r="D53" i="16"/>
  <c r="D51" i="16"/>
  <c r="D48" i="16"/>
  <c r="D47" i="16"/>
  <c r="D46" i="16"/>
  <c r="D40" i="16"/>
  <c r="D31" i="16"/>
  <c r="D8" i="16"/>
  <c r="D5" i="16"/>
  <c r="E79" i="16" l="1" a="1"/>
  <c r="E79" i="16" s="1"/>
  <c r="D43" i="16" s="1"/>
  <c r="E108" i="16"/>
  <c r="D72" i="16" s="1"/>
  <c r="E1" i="16"/>
  <c r="E109" i="16"/>
  <c r="D73" i="16" s="1"/>
  <c r="E78" i="16" a="1"/>
  <c r="E78" i="16" s="1"/>
  <c r="D42" i="16" s="1"/>
  <c r="D141" i="16"/>
  <c r="E86" i="16" a="1"/>
  <c r="E86" i="16" s="1"/>
  <c r="D50" i="16" s="1"/>
  <c r="D21" i="16"/>
  <c r="E48" i="16" a="1"/>
  <c r="E48" i="16" s="1"/>
  <c r="D12" i="16" s="1"/>
  <c r="E39" i="16" a="1"/>
  <c r="E39" i="16" s="1"/>
  <c r="D3" i="16" s="1"/>
  <c r="E46" i="16" l="1" a="1"/>
  <c r="E46" i="16" s="1"/>
  <c r="D10" i="16" s="1"/>
  <c r="AGR6" i="10" l="1"/>
  <c r="E5" i="10"/>
  <c r="AA5" i="10" l="1"/>
  <c r="AB5" i="10" s="1"/>
  <c r="AA4" i="10"/>
  <c r="F48" i="1"/>
  <c r="F48" i="5" l="1"/>
  <c r="SD5" i="10"/>
  <c r="SE5" i="10" s="1"/>
  <c r="SE6" i="10" s="1"/>
  <c r="SA5" i="10"/>
  <c r="SA6" i="10" s="1"/>
  <c r="RE5" i="10"/>
  <c r="RE6" i="10" s="1"/>
  <c r="OL5" i="10"/>
  <c r="OQ5" i="10" s="1"/>
  <c r="OQ6" i="10" s="1"/>
  <c r="NM5" i="10"/>
  <c r="NQ5" i="10" s="1"/>
  <c r="NQ6" i="10" s="1"/>
  <c r="MJ5" i="10"/>
  <c r="NW5" i="10" s="1"/>
  <c r="IJ5" i="10"/>
  <c r="IJ6" i="10" s="1"/>
  <c r="II5" i="10"/>
  <c r="II6" i="10" s="1"/>
  <c r="ZO5" i="10"/>
  <c r="ZO6" i="10" s="1"/>
  <c r="F188" i="6"/>
  <c r="B92" i="3"/>
  <c r="F18" i="7"/>
  <c r="F326" i="7"/>
  <c r="B326" i="7"/>
  <c r="B324" i="7"/>
  <c r="CT5" i="10"/>
  <c r="CT6" i="10" s="1"/>
  <c r="B118" i="7"/>
  <c r="ABE5" i="10"/>
  <c r="AEL5" i="10"/>
  <c r="AEK5" i="10"/>
  <c r="AEJ5" i="10"/>
  <c r="AEI5" i="10"/>
  <c r="AEW5" i="10"/>
  <c r="AEV5" i="10"/>
  <c r="AET5" i="10"/>
  <c r="AES5" i="10"/>
  <c r="AEP5" i="10"/>
  <c r="AEO5" i="10"/>
  <c r="AEH5" i="10"/>
  <c r="AEG5" i="10"/>
  <c r="AED5" i="10"/>
  <c r="AEC5" i="10"/>
  <c r="ADZ5" i="10"/>
  <c r="ADY5" i="10"/>
  <c r="ADV5" i="10"/>
  <c r="ADU5" i="10"/>
  <c r="ADR5" i="10"/>
  <c r="ADQ5" i="10"/>
  <c r="F58" i="9"/>
  <c r="B58" i="9"/>
  <c r="F56" i="9"/>
  <c r="B56" i="9"/>
  <c r="F70" i="9"/>
  <c r="B70" i="9"/>
  <c r="F66" i="9"/>
  <c r="B66" i="9"/>
  <c r="F62" i="9"/>
  <c r="B62" i="9"/>
  <c r="F54" i="9"/>
  <c r="B54" i="9"/>
  <c r="F50" i="9"/>
  <c r="B50" i="9"/>
  <c r="F46" i="9"/>
  <c r="B46" i="9"/>
  <c r="F47" i="9"/>
  <c r="B47" i="9"/>
  <c r="F42" i="9"/>
  <c r="B42" i="9"/>
  <c r="F38" i="9"/>
  <c r="B38" i="9"/>
  <c r="F36" i="9"/>
  <c r="F40" i="9"/>
  <c r="F44" i="9"/>
  <c r="F48" i="9"/>
  <c r="F52" i="9"/>
  <c r="F60" i="9"/>
  <c r="B38" i="5"/>
  <c r="F70" i="3"/>
  <c r="F222" i="7"/>
  <c r="B222" i="7"/>
  <c r="B66" i="3"/>
  <c r="F58" i="3"/>
  <c r="F56" i="3"/>
  <c r="F84" i="3"/>
  <c r="B84" i="3"/>
  <c r="F26" i="7"/>
  <c r="F28" i="7"/>
  <c r="CF5" i="10"/>
  <c r="CF6" i="10" s="1"/>
  <c r="F216" i="7"/>
  <c r="B216" i="7"/>
  <c r="B72" i="7"/>
  <c r="KC5" i="10"/>
  <c r="KC6" i="10" s="1"/>
  <c r="IN5" i="10"/>
  <c r="IN6" i="10" s="1"/>
  <c r="D4" i="3"/>
  <c r="B20" i="3" s="1"/>
  <c r="XJ5" i="10"/>
  <c r="XH5" i="10"/>
  <c r="F34" i="3"/>
  <c r="F32" i="3"/>
  <c r="TT5" i="10"/>
  <c r="RS5" i="10"/>
  <c r="F24" i="6"/>
  <c r="B58" i="6"/>
  <c r="JS5" i="10"/>
  <c r="JW5" i="10" s="1"/>
  <c r="F74" i="7"/>
  <c r="B76" i="7"/>
  <c r="B74" i="7"/>
  <c r="F72" i="7"/>
  <c r="B78" i="7"/>
  <c r="F78" i="7"/>
  <c r="F192" i="7"/>
  <c r="F198" i="7"/>
  <c r="F132" i="7"/>
  <c r="F66" i="7"/>
  <c r="F62" i="7"/>
  <c r="F40" i="7"/>
  <c r="F64" i="1"/>
  <c r="B80" i="1"/>
  <c r="B74" i="1"/>
  <c r="F72" i="1"/>
  <c r="B72" i="1"/>
  <c r="AL5" i="10"/>
  <c r="AL6" i="10" s="1"/>
  <c r="F60" i="1"/>
  <c r="F12" i="6"/>
  <c r="ID5" i="10"/>
  <c r="ID6" i="10" s="1"/>
  <c r="CN5" i="10"/>
  <c r="CS5" i="10" s="1"/>
  <c r="CS6" i="10" s="1"/>
  <c r="B46" i="3"/>
  <c r="F16" i="9"/>
  <c r="F18" i="9"/>
  <c r="F64" i="9"/>
  <c r="F30" i="9"/>
  <c r="XE5" i="10"/>
  <c r="XE6" i="10" s="1"/>
  <c r="B76" i="3"/>
  <c r="B96" i="4"/>
  <c r="F76" i="3"/>
  <c r="B46" i="5"/>
  <c r="AAJ5" i="10"/>
  <c r="AAJ6" i="10" s="1"/>
  <c r="AAI5" i="10"/>
  <c r="AAI6" i="10" s="1"/>
  <c r="AAK5" i="10"/>
  <c r="AAK6" i="10" s="1"/>
  <c r="AGR5" i="10"/>
  <c r="AGQ5" i="10"/>
  <c r="AGQ6" i="10" s="1"/>
  <c r="AGP5" i="10"/>
  <c r="AGP6" i="10" s="1"/>
  <c r="AGO5" i="10"/>
  <c r="AGO6" i="10" s="1"/>
  <c r="AGN5" i="10"/>
  <c r="AGN6" i="10" s="1"/>
  <c r="AGM5" i="10"/>
  <c r="AGM6" i="10" s="1"/>
  <c r="AGL5" i="10"/>
  <c r="AGL6" i="10" s="1"/>
  <c r="AGK5" i="10"/>
  <c r="AGK6" i="10" s="1"/>
  <c r="AGJ5" i="10"/>
  <c r="AGJ6" i="10" s="1"/>
  <c r="AGI5" i="10"/>
  <c r="AGI6" i="10" s="1"/>
  <c r="AGH5" i="10"/>
  <c r="AGH6" i="10" s="1"/>
  <c r="AGG5" i="10"/>
  <c r="AGG6" i="10" s="1"/>
  <c r="AGF5" i="10"/>
  <c r="AGF6" i="10" s="1"/>
  <c r="AGE5" i="10"/>
  <c r="AGE6" i="10" s="1"/>
  <c r="AGD5" i="10"/>
  <c r="AGD6" i="10" s="1"/>
  <c r="AGC5" i="10"/>
  <c r="AGC6" i="10" s="1"/>
  <c r="F100" i="9"/>
  <c r="AGB5" i="10"/>
  <c r="AGB6" i="10" s="1"/>
  <c r="AGA5" i="10"/>
  <c r="AGA6" i="10" s="1"/>
  <c r="AFZ5" i="10"/>
  <c r="AFZ6" i="10" s="1"/>
  <c r="AFY5" i="10"/>
  <c r="AFY6" i="10" s="1"/>
  <c r="AFX5" i="10"/>
  <c r="AFX6" i="10" s="1"/>
  <c r="AFW5" i="10"/>
  <c r="AFW6" i="10" s="1"/>
  <c r="AFV5" i="10"/>
  <c r="AFU5" i="10"/>
  <c r="AFU6" i="10" s="1"/>
  <c r="AFT5" i="10"/>
  <c r="AFT6" i="10" s="1"/>
  <c r="AFS5" i="10"/>
  <c r="AFS6" i="10" s="1"/>
  <c r="AFR5" i="10"/>
  <c r="AFR6" i="10" s="1"/>
  <c r="AFQ5" i="10"/>
  <c r="AFQ6" i="10" s="1"/>
  <c r="AFP5" i="10"/>
  <c r="AFP6" i="10" s="1"/>
  <c r="AFO5" i="10"/>
  <c r="AFN5" i="10"/>
  <c r="AFM5" i="10"/>
  <c r="AFL5" i="10"/>
  <c r="AFL6" i="10" s="1"/>
  <c r="AFK5" i="10"/>
  <c r="AFK6" i="10" s="1"/>
  <c r="AFJ5" i="10"/>
  <c r="AFJ6" i="10" s="1"/>
  <c r="AFI5" i="10"/>
  <c r="AFH5" i="10"/>
  <c r="AFH6" i="10" s="1"/>
  <c r="AFG5" i="10"/>
  <c r="AFG6" i="10" s="1"/>
  <c r="AFF5" i="10"/>
  <c r="AFF6" i="10" s="1"/>
  <c r="AFE5" i="10"/>
  <c r="AFD5" i="10"/>
  <c r="AFD6" i="10" s="1"/>
  <c r="AFC5" i="10"/>
  <c r="AFC6" i="10" s="1"/>
  <c r="AFB5" i="10"/>
  <c r="AFB6" i="10" s="1"/>
  <c r="AFA5" i="10"/>
  <c r="AFA6" i="10" s="1"/>
  <c r="AEZ5" i="10"/>
  <c r="AEY5" i="10"/>
  <c r="AEY6" i="10" s="1"/>
  <c r="AEX5" i="10"/>
  <c r="AEU5" i="10"/>
  <c r="AEU6" i="10" s="1"/>
  <c r="AER5" i="10"/>
  <c r="AER6" i="10" s="1"/>
  <c r="AEQ5" i="10"/>
  <c r="AEQ6" i="10" s="1"/>
  <c r="AEN5" i="10"/>
  <c r="AEN6" i="10" s="1"/>
  <c r="AEM5" i="10"/>
  <c r="AEM6" i="10" s="1"/>
  <c r="AEF5" i="10"/>
  <c r="AEF6" i="10" s="1"/>
  <c r="AEE5" i="10"/>
  <c r="AEE6" i="10" s="1"/>
  <c r="AEB5" i="10"/>
  <c r="AEB6" i="10" s="1"/>
  <c r="AEA5" i="10"/>
  <c r="AEA6" i="10" s="1"/>
  <c r="ADX5" i="10"/>
  <c r="ADX6" i="10" s="1"/>
  <c r="ADW5" i="10"/>
  <c r="ADW6" i="10" s="1"/>
  <c r="ADT5" i="10"/>
  <c r="ADT6" i="10" s="1"/>
  <c r="ADS5" i="10"/>
  <c r="ADS6" i="10" s="1"/>
  <c r="ADP5" i="10"/>
  <c r="ADP6" i="10" s="1"/>
  <c r="ADO5" i="10"/>
  <c r="ADO6" i="10" s="1"/>
  <c r="ADN5" i="10"/>
  <c r="ADM5" i="10"/>
  <c r="ADM6" i="10" s="1"/>
  <c r="ADL5" i="10"/>
  <c r="ADL6" i="10" s="1"/>
  <c r="ADK5" i="10"/>
  <c r="ADK6" i="10" s="1"/>
  <c r="ADJ5" i="10"/>
  <c r="ADI5" i="10"/>
  <c r="ADH5" i="10"/>
  <c r="ADH6" i="10" s="1"/>
  <c r="ADG5" i="10"/>
  <c r="ADF5" i="10"/>
  <c r="ADF6" i="10" s="1"/>
  <c r="ADE5" i="10"/>
  <c r="ADE6" i="10" s="1"/>
  <c r="ADD5" i="10"/>
  <c r="ADD6" i="10" s="1"/>
  <c r="ADC5" i="10"/>
  <c r="ADC6" i="10" s="1"/>
  <c r="ADB5" i="10"/>
  <c r="ADB6" i="10" s="1"/>
  <c r="ADA5" i="10"/>
  <c r="ADA6" i="10" s="1"/>
  <c r="ACZ5" i="10"/>
  <c r="ACZ6" i="10" s="1"/>
  <c r="ACY5" i="10"/>
  <c r="ACY6" i="10" s="1"/>
  <c r="ACX5" i="10"/>
  <c r="ACX6" i="10" s="1"/>
  <c r="ACW5" i="10"/>
  <c r="ACV5" i="10"/>
  <c r="ACV6" i="10" s="1"/>
  <c r="ACU5" i="10"/>
  <c r="ACU6" i="10" s="1"/>
  <c r="ACT5" i="10"/>
  <c r="ACT6" i="10" s="1"/>
  <c r="ACS5" i="10"/>
  <c r="ACR5" i="10"/>
  <c r="ACR6" i="10" s="1"/>
  <c r="ACQ5" i="10"/>
  <c r="ACP5" i="10"/>
  <c r="ACP6" i="10" s="1"/>
  <c r="ACO5" i="10"/>
  <c r="ACO6" i="10" s="1"/>
  <c r="ACN5" i="10"/>
  <c r="ACM5" i="10"/>
  <c r="ACM6" i="10" s="1"/>
  <c r="ACL5" i="10"/>
  <c r="ACK5" i="10"/>
  <c r="ACK6" i="10" s="1"/>
  <c r="ACJ5" i="10"/>
  <c r="ACJ6" i="10" s="1"/>
  <c r="ACI5" i="10"/>
  <c r="ACH5" i="10"/>
  <c r="ACH6" i="10" s="1"/>
  <c r="ACG5" i="10"/>
  <c r="ACF5" i="10"/>
  <c r="ACF6" i="10" s="1"/>
  <c r="ACE5" i="10"/>
  <c r="ACD5" i="10"/>
  <c r="ACD6" i="10" s="1"/>
  <c r="ACC5" i="10"/>
  <c r="ACC6" i="10" s="1"/>
  <c r="ACB5" i="10"/>
  <c r="ACB6" i="10" s="1"/>
  <c r="ACA5" i="10"/>
  <c r="ACA6" i="10" s="1"/>
  <c r="ABZ5" i="10"/>
  <c r="ABZ6" i="10" s="1"/>
  <c r="ABY5" i="10"/>
  <c r="ABY6" i="10" s="1"/>
  <c r="ABX5" i="10"/>
  <c r="ABX6" i="10" s="1"/>
  <c r="ABW5" i="10"/>
  <c r="ABW6" i="10" s="1"/>
  <c r="ABV5" i="10"/>
  <c r="ABV6" i="10" s="1"/>
  <c r="ABU5" i="10"/>
  <c r="ABU6" i="10" s="1"/>
  <c r="ABT5" i="10"/>
  <c r="ABT6" i="10" s="1"/>
  <c r="ABS5" i="10"/>
  <c r="ABR5" i="10"/>
  <c r="ABR6" i="10" s="1"/>
  <c r="ABQ5" i="10"/>
  <c r="ABQ6" i="10" s="1"/>
  <c r="ABP5" i="10"/>
  <c r="ABO5" i="10"/>
  <c r="ABO6" i="10" s="1"/>
  <c r="ABN5" i="10"/>
  <c r="ABN6" i="10" s="1"/>
  <c r="ABM5" i="10"/>
  <c r="ABM6" i="10" s="1"/>
  <c r="ABL5" i="10"/>
  <c r="ABL6" i="10" s="1"/>
  <c r="ABK5" i="10"/>
  <c r="ABJ5" i="10"/>
  <c r="ABJ6" i="10" s="1"/>
  <c r="ABI5" i="10"/>
  <c r="ABH5" i="10"/>
  <c r="ABH6" i="10" s="1"/>
  <c r="ABG5" i="10"/>
  <c r="ABF5" i="10"/>
  <c r="ABD5" i="10"/>
  <c r="ABD6" i="10" s="1"/>
  <c r="ABC5" i="10"/>
  <c r="ABB5" i="10"/>
  <c r="ABB6" i="10" s="1"/>
  <c r="ABA5" i="10"/>
  <c r="AAZ5" i="10"/>
  <c r="AAY5" i="10"/>
  <c r="AAY6" i="10" s="1"/>
  <c r="AAX5" i="10"/>
  <c r="AAX6" i="10" s="1"/>
  <c r="AAW5" i="10"/>
  <c r="AAW6" i="10" s="1"/>
  <c r="AAV5" i="10"/>
  <c r="AAV6" i="10" s="1"/>
  <c r="AAU5" i="10"/>
  <c r="AAT5" i="10"/>
  <c r="AAS5" i="10"/>
  <c r="AAS6" i="10" s="1"/>
  <c r="AAR5" i="10"/>
  <c r="AAR6" i="10" s="1"/>
  <c r="AAQ5" i="10"/>
  <c r="AAP5" i="10"/>
  <c r="AAP6" i="10" s="1"/>
  <c r="AAO5" i="10"/>
  <c r="AAO6" i="10" s="1"/>
  <c r="AAN5" i="10"/>
  <c r="AAM5" i="10"/>
  <c r="AAM6" i="10" s="1"/>
  <c r="AAL5" i="10"/>
  <c r="AAL6" i="10" s="1"/>
  <c r="AAH5" i="10"/>
  <c r="AAH6" i="10" s="1"/>
  <c r="AAG5" i="10"/>
  <c r="AAG6" i="10" s="1"/>
  <c r="AAF5" i="10"/>
  <c r="AAF6" i="10" s="1"/>
  <c r="AAE5" i="10"/>
  <c r="AAE6" i="10" s="1"/>
  <c r="AAD5" i="10"/>
  <c r="AAD6" i="10" s="1"/>
  <c r="AAC5" i="10"/>
  <c r="AAC6" i="10" s="1"/>
  <c r="AAB5" i="10"/>
  <c r="AAB6" i="10" s="1"/>
  <c r="AAA5" i="10"/>
  <c r="AAA6" i="10" s="1"/>
  <c r="B118" i="3"/>
  <c r="ZZ5" i="10"/>
  <c r="ZZ6" i="10" s="1"/>
  <c r="ZY5" i="10"/>
  <c r="ZY6" i="10" s="1"/>
  <c r="ZX5" i="10"/>
  <c r="ZX6" i="10" s="1"/>
  <c r="ZW5" i="10"/>
  <c r="ZW6" i="10" s="1"/>
  <c r="ZV5" i="10"/>
  <c r="ZV6" i="10" s="1"/>
  <c r="ZU5" i="10"/>
  <c r="ZU6" i="10" s="1"/>
  <c r="ZT5" i="10"/>
  <c r="ZT6" i="10" s="1"/>
  <c r="ZS5" i="10"/>
  <c r="ZS6" i="10" s="1"/>
  <c r="ZR5" i="10"/>
  <c r="ZR6" i="10" s="1"/>
  <c r="ZQ5" i="10"/>
  <c r="ZQ6" i="10" s="1"/>
  <c r="ZP5" i="10"/>
  <c r="ZP6" i="10" s="1"/>
  <c r="ZN5" i="10"/>
  <c r="ZN6" i="10" s="1"/>
  <c r="ZM5" i="10"/>
  <c r="ZM6" i="10" s="1"/>
  <c r="ZL5" i="10"/>
  <c r="ZL6" i="10" s="1"/>
  <c r="ZK5" i="10"/>
  <c r="ZK6" i="10" s="1"/>
  <c r="ZJ5" i="10"/>
  <c r="ZJ6" i="10" s="1"/>
  <c r="ZI5" i="10"/>
  <c r="ZI6" i="10" s="1"/>
  <c r="ZH5" i="10"/>
  <c r="ZH6" i="10" s="1"/>
  <c r="ZG5" i="10"/>
  <c r="ZG6" i="10" s="1"/>
  <c r="F96" i="3"/>
  <c r="ZF5" i="10"/>
  <c r="ZF6" i="10" s="1"/>
  <c r="B124" i="3"/>
  <c r="B114" i="3"/>
  <c r="B108" i="3"/>
  <c r="ZE5" i="10"/>
  <c r="ZE6" i="10" s="1"/>
  <c r="ZD5" i="10"/>
  <c r="ZD6" i="10" s="1"/>
  <c r="ZC5" i="10"/>
  <c r="ZC6" i="10" s="1"/>
  <c r="ZB5" i="10"/>
  <c r="ZB6" i="10" s="1"/>
  <c r="ZA5" i="10"/>
  <c r="YZ5" i="10"/>
  <c r="YY5" i="10"/>
  <c r="YY6" i="10" s="1"/>
  <c r="YX5" i="10"/>
  <c r="YX6" i="10" s="1"/>
  <c r="YW5" i="10"/>
  <c r="YW6" i="10" s="1"/>
  <c r="YV5" i="10"/>
  <c r="YV6" i="10" s="1"/>
  <c r="YU5" i="10"/>
  <c r="YU6" i="10" s="1"/>
  <c r="YT5" i="10"/>
  <c r="YT6" i="10" s="1"/>
  <c r="YS5" i="10"/>
  <c r="YS6" i="10" s="1"/>
  <c r="YR5" i="10"/>
  <c r="YR6" i="10" s="1"/>
  <c r="F78" i="3"/>
  <c r="YQ5" i="10"/>
  <c r="YP5" i="10"/>
  <c r="YP6" i="10" s="1"/>
  <c r="YO5" i="10"/>
  <c r="YO6" i="10" s="1"/>
  <c r="YN5" i="10"/>
  <c r="YN6" i="10" s="1"/>
  <c r="YM5" i="10"/>
  <c r="YM6" i="10" s="1"/>
  <c r="YL5" i="10"/>
  <c r="YL6" i="10" s="1"/>
  <c r="YK5" i="10"/>
  <c r="YK6" i="10" s="1"/>
  <c r="YJ5" i="10"/>
  <c r="YJ6" i="10" s="1"/>
  <c r="YI5" i="10"/>
  <c r="YI6" i="10" s="1"/>
  <c r="YH5" i="10"/>
  <c r="YH6" i="10" s="1"/>
  <c r="F64" i="3"/>
  <c r="YG5" i="10"/>
  <c r="YG6" i="10" s="1"/>
  <c r="YF5" i="10"/>
  <c r="YF6" i="10" s="1"/>
  <c r="YE5" i="10"/>
  <c r="F20" i="3"/>
  <c r="YD5" i="10"/>
  <c r="YD6" i="10" s="1"/>
  <c r="YC5" i="10"/>
  <c r="YC6" i="10" s="1"/>
  <c r="YB5" i="10"/>
  <c r="YB6" i="10" s="1"/>
  <c r="YA5" i="10"/>
  <c r="YA6" i="10" s="1"/>
  <c r="XZ5" i="10"/>
  <c r="XZ6" i="10" s="1"/>
  <c r="XY5" i="10"/>
  <c r="XX5" i="10"/>
  <c r="XW5" i="10"/>
  <c r="XW6" i="10" s="1"/>
  <c r="XV5" i="10"/>
  <c r="XV6" i="10" s="1"/>
  <c r="F44" i="3"/>
  <c r="F42" i="3"/>
  <c r="XU5" i="10"/>
  <c r="XU6" i="10" s="1"/>
  <c r="XT5" i="10"/>
  <c r="XT6" i="10" s="1"/>
  <c r="XS5" i="10"/>
  <c r="XS6" i="10" s="1"/>
  <c r="XR5" i="10"/>
  <c r="XR6" i="10" s="1"/>
  <c r="XQ5" i="10"/>
  <c r="XQ6" i="10" s="1"/>
  <c r="XP5" i="10"/>
  <c r="XP6" i="10" s="1"/>
  <c r="XO5" i="10"/>
  <c r="XN5" i="10"/>
  <c r="XN6" i="10" s="1"/>
  <c r="XM5" i="10"/>
  <c r="XM6" i="10" s="1"/>
  <c r="XL5" i="10"/>
  <c r="XL6" i="10" s="1"/>
  <c r="XK5" i="10"/>
  <c r="XK6" i="10" s="1"/>
  <c r="XI5" i="10"/>
  <c r="XI6" i="10" s="1"/>
  <c r="XG5" i="10"/>
  <c r="XG6" i="10" s="1"/>
  <c r="F14" i="3"/>
  <c r="J18" i="3"/>
  <c r="J16" i="3"/>
  <c r="F24" i="3"/>
  <c r="F26" i="3"/>
  <c r="XF5" i="10"/>
  <c r="XD5" i="10"/>
  <c r="XD6" i="10" s="1"/>
  <c r="XC5" i="10"/>
  <c r="XC6" i="10" s="1"/>
  <c r="XB5" i="10"/>
  <c r="XB6" i="10" s="1"/>
  <c r="XA5" i="10"/>
  <c r="XA6" i="10" s="1"/>
  <c r="WZ5" i="10"/>
  <c r="WZ6" i="10" s="1"/>
  <c r="WY5" i="10"/>
  <c r="WY6" i="10" s="1"/>
  <c r="WX5" i="10"/>
  <c r="WX6" i="10" s="1"/>
  <c r="WW5" i="10"/>
  <c r="WW6" i="10" s="1"/>
  <c r="WV5" i="10"/>
  <c r="WV6" i="10" s="1"/>
  <c r="WU5" i="10"/>
  <c r="WU6" i="10" s="1"/>
  <c r="WT5" i="10"/>
  <c r="WT6" i="10" s="1"/>
  <c r="WS5" i="10"/>
  <c r="WS6" i="10" s="1"/>
  <c r="WR5" i="10"/>
  <c r="WR6" i="10" s="1"/>
  <c r="WQ5" i="10"/>
  <c r="WQ6" i="10" s="1"/>
  <c r="WP5" i="10"/>
  <c r="WP6" i="10" s="1"/>
  <c r="WO5" i="10"/>
  <c r="WO6" i="10" s="1"/>
  <c r="WN5" i="10"/>
  <c r="WN6" i="10" s="1"/>
  <c r="WM5" i="10"/>
  <c r="WM6" i="10" s="1"/>
  <c r="WL5" i="10"/>
  <c r="WL6" i="10" s="1"/>
  <c r="WK5" i="10"/>
  <c r="WK6" i="10" s="1"/>
  <c r="F26" i="6"/>
  <c r="F28" i="6"/>
  <c r="WJ5" i="10"/>
  <c r="WJ6" i="10" s="1"/>
  <c r="WI5" i="10"/>
  <c r="WI6" i="10" s="1"/>
  <c r="WH5" i="10"/>
  <c r="WH6" i="10" s="1"/>
  <c r="WG5" i="10"/>
  <c r="WG6" i="10" s="1"/>
  <c r="WF5" i="10"/>
  <c r="WF6" i="10" s="1"/>
  <c r="WE5" i="10"/>
  <c r="WD5" i="10"/>
  <c r="WD6" i="10" s="1"/>
  <c r="WC5" i="10"/>
  <c r="WC6" i="10" s="1"/>
  <c r="WB5" i="10"/>
  <c r="WB6" i="10" s="1"/>
  <c r="WA5" i="10"/>
  <c r="VZ5" i="10"/>
  <c r="VZ6" i="10" s="1"/>
  <c r="VY5" i="10"/>
  <c r="VX5" i="10"/>
  <c r="VX6" i="10" s="1"/>
  <c r="VW5" i="10"/>
  <c r="VV5" i="10"/>
  <c r="VV6" i="10" s="1"/>
  <c r="VU5" i="10"/>
  <c r="VT5" i="10"/>
  <c r="VT6" i="10" s="1"/>
  <c r="VS5" i="10"/>
  <c r="VR5" i="10"/>
  <c r="VR6" i="10" s="1"/>
  <c r="VQ5" i="10"/>
  <c r="VP5" i="10"/>
  <c r="VP6" i="10" s="1"/>
  <c r="VO5" i="10"/>
  <c r="VO6" i="10" s="1"/>
  <c r="VN5" i="10"/>
  <c r="VN6" i="10" s="1"/>
  <c r="VM5" i="10"/>
  <c r="VM6" i="10" s="1"/>
  <c r="VL5" i="10"/>
  <c r="VK5" i="10"/>
  <c r="VK6" i="10" s="1"/>
  <c r="VJ5" i="10"/>
  <c r="VJ6" i="10" s="1"/>
  <c r="VI5" i="10"/>
  <c r="VH5" i="10"/>
  <c r="VH6" i="10" s="1"/>
  <c r="VG5" i="10"/>
  <c r="VG6" i="10" s="1"/>
  <c r="VF5" i="10"/>
  <c r="VE5" i="10"/>
  <c r="VE6" i="10" s="1"/>
  <c r="VD5" i="10"/>
  <c r="VD6" i="10" s="1"/>
  <c r="VC5" i="10"/>
  <c r="VC6" i="10" s="1"/>
  <c r="VB5" i="10"/>
  <c r="VB6" i="10" s="1"/>
  <c r="VA5" i="10"/>
  <c r="VA6" i="10" s="1"/>
  <c r="UZ5" i="10"/>
  <c r="UZ6" i="10" s="1"/>
  <c r="UY5" i="10"/>
  <c r="UX5" i="10"/>
  <c r="UX6" i="10" s="1"/>
  <c r="UW5" i="10"/>
  <c r="UW6" i="10" s="1"/>
  <c r="UV5" i="10"/>
  <c r="UV6" i="10" s="1"/>
  <c r="UU5" i="10"/>
  <c r="UU6" i="10" s="1"/>
  <c r="UT5" i="10"/>
  <c r="US5" i="10"/>
  <c r="US6" i="10" s="1"/>
  <c r="UR5" i="10"/>
  <c r="UR6" i="10" s="1"/>
  <c r="UQ5" i="10"/>
  <c r="UQ6" i="10" s="1"/>
  <c r="UP5" i="10"/>
  <c r="UP6" i="10" s="1"/>
  <c r="UO5" i="10"/>
  <c r="UO6" i="10" s="1"/>
  <c r="UN5" i="10"/>
  <c r="UM5" i="10"/>
  <c r="UM6" i="10" s="1"/>
  <c r="UL5" i="10"/>
  <c r="UL6" i="10" s="1"/>
  <c r="UK5" i="10"/>
  <c r="UK6" i="10" s="1"/>
  <c r="UJ5" i="10"/>
  <c r="UJ6" i="10" s="1"/>
  <c r="UI5" i="10"/>
  <c r="UH5" i="10"/>
  <c r="UG5" i="10"/>
  <c r="UG6" i="10" s="1"/>
  <c r="UF5" i="10"/>
  <c r="UF6" i="10" s="1"/>
  <c r="UE5" i="10"/>
  <c r="UE6" i="10" s="1"/>
  <c r="F116" i="6"/>
  <c r="UD5" i="10"/>
  <c r="UD6" i="10" s="1"/>
  <c r="UC5" i="10"/>
  <c r="UB5" i="10"/>
  <c r="UB6" i="10" s="1"/>
  <c r="UA5" i="10"/>
  <c r="TZ5" i="10"/>
  <c r="TY5" i="10"/>
  <c r="TY6" i="10" s="1"/>
  <c r="TX5" i="10"/>
  <c r="TW5" i="10"/>
  <c r="TW6" i="10" s="1"/>
  <c r="TV5" i="10"/>
  <c r="TU5" i="10"/>
  <c r="TU6" i="10" s="1"/>
  <c r="TS5" i="10"/>
  <c r="TS6" i="10" s="1"/>
  <c r="TR5" i="10"/>
  <c r="TR6" i="10" s="1"/>
  <c r="TQ5" i="10"/>
  <c r="TQ6" i="10" s="1"/>
  <c r="TP5" i="10"/>
  <c r="TP6" i="10" s="1"/>
  <c r="TO5" i="10"/>
  <c r="TO6" i="10" s="1"/>
  <c r="TN5" i="10"/>
  <c r="TN6" i="10" s="1"/>
  <c r="TM5" i="10"/>
  <c r="TM6" i="10" s="1"/>
  <c r="TL5" i="10"/>
  <c r="TK5" i="10"/>
  <c r="TK6" i="10" s="1"/>
  <c r="TJ5" i="10"/>
  <c r="TJ6" i="10" s="1"/>
  <c r="TI5" i="10"/>
  <c r="TI6" i="10" s="1"/>
  <c r="TH5" i="10"/>
  <c r="TH6" i="10" s="1"/>
  <c r="TG5" i="10"/>
  <c r="TG6" i="10" s="1"/>
  <c r="TE5" i="10"/>
  <c r="TC5" i="10"/>
  <c r="TC6" i="10" s="1"/>
  <c r="TA5" i="10"/>
  <c r="TA6" i="10" s="1"/>
  <c r="SY5" i="10"/>
  <c r="SV5" i="10"/>
  <c r="SV6" i="10" s="1"/>
  <c r="ST5" i="10"/>
  <c r="SR5" i="10"/>
  <c r="SR6" i="10" s="1"/>
  <c r="SP5" i="10"/>
  <c r="SQ5" i="10" s="1"/>
  <c r="SQ6" i="10" s="1"/>
  <c r="SN5" i="10"/>
  <c r="SL5" i="10"/>
  <c r="SJ5" i="10"/>
  <c r="SH5" i="10"/>
  <c r="SI5" i="10" s="1"/>
  <c r="SI6" i="10" s="1"/>
  <c r="SB5" i="10"/>
  <c r="RZ5" i="10"/>
  <c r="RZ6" i="10" s="1"/>
  <c r="RW5" i="10"/>
  <c r="RU5" i="10"/>
  <c r="F42" i="6"/>
  <c r="RQ5" i="10"/>
  <c r="RQ6" i="10" s="1"/>
  <c r="RP5" i="10"/>
  <c r="RP6" i="10" s="1"/>
  <c r="RO5" i="10"/>
  <c r="RN5" i="10"/>
  <c r="RN6" i="10" s="1"/>
  <c r="RM5" i="10"/>
  <c r="RM6" i="10" s="1"/>
  <c r="RL5" i="10"/>
  <c r="RL6" i="10" s="1"/>
  <c r="RK5" i="10"/>
  <c r="RK6" i="10" s="1"/>
  <c r="RI5" i="10"/>
  <c r="RJ5" i="10" s="1"/>
  <c r="RJ6" i="10" s="1"/>
  <c r="RG5" i="10"/>
  <c r="RF5" i="10"/>
  <c r="RD5" i="10"/>
  <c r="RD6" i="10" s="1"/>
  <c r="RC5" i="10"/>
  <c r="RB5" i="10"/>
  <c r="PR5" i="10"/>
  <c r="QJ5" i="10" s="1"/>
  <c r="QN5" i="10" s="1"/>
  <c r="QN6" i="10" s="1"/>
  <c r="OZ5" i="10"/>
  <c r="OZ6" i="10" s="1"/>
  <c r="MJ6" i="10"/>
  <c r="KM5" i="10"/>
  <c r="KM6" i="10" s="1"/>
  <c r="KH5" i="10"/>
  <c r="KH6" i="10" s="1"/>
  <c r="JX5" i="10"/>
  <c r="JX6" i="10" s="1"/>
  <c r="JN5" i="10"/>
  <c r="JO5" i="10" s="1"/>
  <c r="JO6" i="10" s="1"/>
  <c r="JB5" i="10"/>
  <c r="JF5" i="10" s="1"/>
  <c r="JF6" i="10" s="1"/>
  <c r="IV5" i="10"/>
  <c r="IW5" i="10" s="1"/>
  <c r="IW6" i="10" s="1"/>
  <c r="IP5" i="10"/>
  <c r="IU5" i="10" s="1"/>
  <c r="IU6" i="10" s="1"/>
  <c r="J36" i="4"/>
  <c r="F42" i="4"/>
  <c r="IM5" i="10"/>
  <c r="IM6" i="10" s="1"/>
  <c r="IL5" i="10"/>
  <c r="IK5" i="10"/>
  <c r="IH5" i="10"/>
  <c r="IH6" i="10" s="1"/>
  <c r="IG5" i="10"/>
  <c r="IF5" i="10"/>
  <c r="IE5" i="10"/>
  <c r="B204" i="4"/>
  <c r="B194" i="4"/>
  <c r="B192" i="4"/>
  <c r="F34" i="4"/>
  <c r="GW5" i="10"/>
  <c r="HG5" i="10" s="1"/>
  <c r="HG6" i="10" s="1"/>
  <c r="FU5" i="10"/>
  <c r="GO5" i="10" s="1"/>
  <c r="GO6" i="10" s="1"/>
  <c r="FQ5" i="10"/>
  <c r="FQ6" i="10" s="1"/>
  <c r="HQ5" i="10"/>
  <c r="HQ6" i="10" s="1"/>
  <c r="HK5" i="10"/>
  <c r="HP5" i="10" s="1"/>
  <c r="HP6" i="10" s="1"/>
  <c r="F206" i="4"/>
  <c r="B206" i="4"/>
  <c r="F196" i="4"/>
  <c r="B196" i="4"/>
  <c r="F170" i="4"/>
  <c r="B116" i="7"/>
  <c r="F238" i="7"/>
  <c r="F246" i="7"/>
  <c r="F18" i="6"/>
  <c r="F22" i="6"/>
  <c r="F20" i="6"/>
  <c r="F148" i="4"/>
  <c r="F79" i="4"/>
  <c r="F58" i="4"/>
  <c r="B232" i="4"/>
  <c r="B228" i="4"/>
  <c r="B224" i="4"/>
  <c r="F230" i="4"/>
  <c r="F226" i="4"/>
  <c r="F222" i="4"/>
  <c r="B220" i="4"/>
  <c r="F218" i="4"/>
  <c r="B230" i="4"/>
  <c r="B226" i="4"/>
  <c r="B222" i="4"/>
  <c r="B218" i="4"/>
  <c r="B216" i="4"/>
  <c r="F38" i="4"/>
  <c r="F32" i="4"/>
  <c r="J30" i="4"/>
  <c r="J28" i="4"/>
  <c r="J26" i="4"/>
  <c r="J24" i="4"/>
  <c r="J22" i="4"/>
  <c r="J20" i="4"/>
  <c r="F18" i="4"/>
  <c r="J16" i="4"/>
  <c r="J14" i="4"/>
  <c r="J12" i="4"/>
  <c r="F106" i="4"/>
  <c r="F102" i="4"/>
  <c r="F98" i="4"/>
  <c r="B108" i="4"/>
  <c r="B104" i="4"/>
  <c r="B100" i="4"/>
  <c r="B106" i="4"/>
  <c r="B102" i="4"/>
  <c r="B98" i="4"/>
  <c r="F22" i="3"/>
  <c r="F118" i="9"/>
  <c r="F110" i="9"/>
  <c r="F114" i="9"/>
  <c r="F12" i="9"/>
  <c r="F20" i="9"/>
  <c r="F80" i="1"/>
  <c r="F70" i="1"/>
  <c r="F66" i="1"/>
  <c r="B24" i="5"/>
  <c r="D4" i="5"/>
  <c r="B140" i="6"/>
  <c r="B94" i="6"/>
  <c r="F72" i="6"/>
  <c r="F70" i="6"/>
  <c r="F68" i="6"/>
  <c r="F66" i="6"/>
  <c r="F210" i="7"/>
  <c r="F120" i="7"/>
  <c r="FM5" i="10"/>
  <c r="FP5" i="10" s="1"/>
  <c r="FP6" i="10" s="1"/>
  <c r="F150" i="4"/>
  <c r="FD5" i="10"/>
  <c r="FD6" i="10" s="1"/>
  <c r="EY5" i="10"/>
  <c r="EY6" i="10" s="1"/>
  <c r="EM5" i="10"/>
  <c r="EM6" i="10" s="1"/>
  <c r="EC5" i="10"/>
  <c r="EC6" i="10" s="1"/>
  <c r="EA5" i="10"/>
  <c r="EL5" i="10" s="1"/>
  <c r="DZ5" i="10"/>
  <c r="DZ6" i="10" s="1"/>
  <c r="DY5" i="10"/>
  <c r="DY6" i="10" s="1"/>
  <c r="DX5" i="10"/>
  <c r="DX6" i="10" s="1"/>
  <c r="DW5" i="10"/>
  <c r="DP5" i="10"/>
  <c r="DK5" i="10"/>
  <c r="DO5" i="10" s="1"/>
  <c r="DO6" i="10" s="1"/>
  <c r="CM5" i="10"/>
  <c r="CM6" i="10" s="1"/>
  <c r="F186" i="4"/>
  <c r="F182" i="4"/>
  <c r="F178" i="4"/>
  <c r="F174" i="4"/>
  <c r="F166" i="4"/>
  <c r="F180" i="7"/>
  <c r="F114" i="4"/>
  <c r="F132" i="1"/>
  <c r="CL5" i="10"/>
  <c r="CL6" i="10" s="1"/>
  <c r="CK5" i="10"/>
  <c r="CK6" i="10" s="1"/>
  <c r="CJ5" i="10"/>
  <c r="CJ6" i="10" s="1"/>
  <c r="CI5" i="10"/>
  <c r="CH5" i="10"/>
  <c r="CH6" i="10" s="1"/>
  <c r="CG5" i="10"/>
  <c r="CG6" i="10" s="1"/>
  <c r="F124" i="1"/>
  <c r="CE5" i="10"/>
  <c r="CE6" i="10" s="1"/>
  <c r="CD5" i="10"/>
  <c r="CD6" i="10" s="1"/>
  <c r="CC5" i="10"/>
  <c r="CC6" i="10" s="1"/>
  <c r="CB5" i="10"/>
  <c r="CB6" i="10" s="1"/>
  <c r="CA5" i="10"/>
  <c r="CA6" i="10" s="1"/>
  <c r="BZ5" i="10"/>
  <c r="BZ6" i="10" s="1"/>
  <c r="BY5" i="10"/>
  <c r="BY6" i="10" s="1"/>
  <c r="BX5" i="10"/>
  <c r="BX6" i="10" s="1"/>
  <c r="BW5" i="10"/>
  <c r="BW6" i="10" s="1"/>
  <c r="BV5" i="10"/>
  <c r="BV6" i="10" s="1"/>
  <c r="F110" i="1"/>
  <c r="F108" i="1"/>
  <c r="BU5" i="10"/>
  <c r="BU6" i="10" s="1"/>
  <c r="BT5" i="10"/>
  <c r="BT6" i="10" s="1"/>
  <c r="BS5" i="10"/>
  <c r="BS6" i="10" s="1"/>
  <c r="BR5" i="10"/>
  <c r="BR6" i="10" s="1"/>
  <c r="BQ5" i="10"/>
  <c r="BQ6" i="10" s="1"/>
  <c r="BP5" i="10"/>
  <c r="BP6" i="10" s="1"/>
  <c r="BO5" i="10"/>
  <c r="BO6" i="10" s="1"/>
  <c r="BN5" i="10"/>
  <c r="BN6" i="10" s="1"/>
  <c r="BM5" i="10"/>
  <c r="BM6" i="10" s="1"/>
  <c r="BL5" i="10"/>
  <c r="BL6" i="10" s="1"/>
  <c r="BK5" i="10"/>
  <c r="BK6" i="10" s="1"/>
  <c r="BJ5" i="10"/>
  <c r="BJ6" i="10" s="1"/>
  <c r="BI5" i="10"/>
  <c r="BI6" i="10" s="1"/>
  <c r="BH5" i="10"/>
  <c r="BH6" i="10" s="1"/>
  <c r="BG5" i="10"/>
  <c r="BG6" i="10" s="1"/>
  <c r="BF5" i="10"/>
  <c r="BF6" i="10" s="1"/>
  <c r="BE5" i="10"/>
  <c r="BE6" i="10" s="1"/>
  <c r="BD5" i="10"/>
  <c r="BD6" i="10" s="1"/>
  <c r="BC5" i="10"/>
  <c r="BC6" i="10" s="1"/>
  <c r="BB5" i="10"/>
  <c r="BB6" i="10" s="1"/>
  <c r="BA5" i="10"/>
  <c r="BA6" i="10" s="1"/>
  <c r="AZ5" i="10"/>
  <c r="AZ6" i="10" s="1"/>
  <c r="AY5" i="10"/>
  <c r="AY6" i="10" s="1"/>
  <c r="AX5" i="10"/>
  <c r="AX6" i="10" s="1"/>
  <c r="AW5" i="10"/>
  <c r="AW6" i="10" s="1"/>
  <c r="AV5" i="10"/>
  <c r="AV6" i="10" s="1"/>
  <c r="AU5" i="10"/>
  <c r="AU6" i="10" s="1"/>
  <c r="AT5" i="10"/>
  <c r="AT6" i="10" s="1"/>
  <c r="AS5" i="10"/>
  <c r="AS6" i="10" s="1"/>
  <c r="AR5" i="10"/>
  <c r="AR6" i="10" s="1"/>
  <c r="AQ5" i="10"/>
  <c r="AQ6" i="10" s="1"/>
  <c r="AP5" i="10"/>
  <c r="AP6" i="10" s="1"/>
  <c r="AO5" i="10"/>
  <c r="AO6" i="10" s="1"/>
  <c r="AN5" i="10"/>
  <c r="AN6" i="10" s="1"/>
  <c r="AM5" i="10"/>
  <c r="AM6" i="10" s="1"/>
  <c r="AK5" i="10"/>
  <c r="AJ5" i="10"/>
  <c r="AJ6" i="10" s="1"/>
  <c r="F58" i="1"/>
  <c r="AI5" i="10"/>
  <c r="AI6" i="10" s="1"/>
  <c r="AH5" i="10"/>
  <c r="AH6" i="10" s="1"/>
  <c r="AG5" i="10"/>
  <c r="AF5" i="10"/>
  <c r="AF6" i="10" s="1"/>
  <c r="F54" i="1"/>
  <c r="AE5" i="10"/>
  <c r="AE6" i="10" s="1"/>
  <c r="AD5" i="10"/>
  <c r="AD6" i="10" s="1"/>
  <c r="AC5" i="10"/>
  <c r="AC6" i="10" s="1"/>
  <c r="Z5" i="10"/>
  <c r="Y5" i="10"/>
  <c r="Y6" i="10" s="1"/>
  <c r="X5" i="10"/>
  <c r="W5" i="10"/>
  <c r="W6" i="10" s="1"/>
  <c r="V5" i="10"/>
  <c r="V6" i="10" s="1"/>
  <c r="T5" i="10"/>
  <c r="T6" i="10" s="1"/>
  <c r="U5" i="10"/>
  <c r="U6" i="10" s="1"/>
  <c r="S5" i="10"/>
  <c r="S6" i="10" s="1"/>
  <c r="R5" i="10"/>
  <c r="F30" i="1"/>
  <c r="Q5" i="10"/>
  <c r="Q6" i="10" s="1"/>
  <c r="P5" i="10"/>
  <c r="P6" i="10" s="1"/>
  <c r="O5" i="10"/>
  <c r="O6" i="10" s="1"/>
  <c r="F28" i="1"/>
  <c r="N5" i="10"/>
  <c r="N6" i="10" s="1"/>
  <c r="M5" i="10"/>
  <c r="L5" i="10"/>
  <c r="L6" i="10" s="1"/>
  <c r="K5" i="10"/>
  <c r="K6" i="10" s="1"/>
  <c r="J5" i="10"/>
  <c r="J6" i="10" s="1"/>
  <c r="I5" i="10"/>
  <c r="I6" i="10" s="1"/>
  <c r="H5" i="10"/>
  <c r="H6" i="10" s="1"/>
  <c r="G5" i="10"/>
  <c r="G6" i="10" s="1"/>
  <c r="F5" i="10"/>
  <c r="F6" i="10" s="1"/>
  <c r="E6" i="10"/>
  <c r="D5" i="10"/>
  <c r="C5" i="10"/>
  <c r="B5" i="10"/>
  <c r="B6" i="10" s="1"/>
  <c r="F122" i="3"/>
  <c r="F72" i="3"/>
  <c r="F68" i="3"/>
  <c r="F66" i="3"/>
  <c r="F32" i="7"/>
  <c r="B320" i="7"/>
  <c r="B316" i="7"/>
  <c r="B322" i="7"/>
  <c r="F318" i="7"/>
  <c r="B318" i="7"/>
  <c r="F316" i="7"/>
  <c r="B312" i="7"/>
  <c r="B308" i="7"/>
  <c r="B314" i="7"/>
  <c r="F310" i="7"/>
  <c r="B310" i="7"/>
  <c r="F308" i="7"/>
  <c r="B304" i="7"/>
  <c r="B300" i="7"/>
  <c r="B306" i="7"/>
  <c r="F302" i="7"/>
  <c r="B302" i="7"/>
  <c r="F300" i="7"/>
  <c r="B294" i="7"/>
  <c r="B298" i="7"/>
  <c r="F296" i="7"/>
  <c r="B296" i="7"/>
  <c r="F294" i="7"/>
  <c r="B286" i="7"/>
  <c r="B292" i="7"/>
  <c r="F290" i="7"/>
  <c r="B290" i="7"/>
  <c r="B288" i="7"/>
  <c r="F286" i="7"/>
  <c r="B278" i="7"/>
  <c r="B284" i="7"/>
  <c r="F282" i="7"/>
  <c r="B282" i="7"/>
  <c r="B280" i="7"/>
  <c r="F278" i="7"/>
  <c r="B32" i="7"/>
  <c r="B270" i="7"/>
  <c r="F272" i="7"/>
  <c r="B272" i="7"/>
  <c r="B264" i="7"/>
  <c r="B274" i="7"/>
  <c r="F268" i="7"/>
  <c r="B268" i="7"/>
  <c r="B266" i="7"/>
  <c r="F264" i="7"/>
  <c r="B258" i="7"/>
  <c r="B260" i="7"/>
  <c r="B254" i="7"/>
  <c r="B252" i="7"/>
  <c r="B262" i="7"/>
  <c r="F256" i="7"/>
  <c r="B256" i="7"/>
  <c r="F252" i="7"/>
  <c r="F30" i="7"/>
  <c r="F170" i="7"/>
  <c r="F178" i="7"/>
  <c r="F186" i="7"/>
  <c r="F204" i="7"/>
  <c r="F228" i="7"/>
  <c r="F234" i="7"/>
  <c r="F242" i="7"/>
  <c r="B246" i="7"/>
  <c r="B238" i="7"/>
  <c r="F244" i="7"/>
  <c r="F236" i="7"/>
  <c r="F230" i="7"/>
  <c r="F224" i="7"/>
  <c r="F218" i="7"/>
  <c r="F212" i="7"/>
  <c r="F206" i="7"/>
  <c r="F200" i="7"/>
  <c r="F194" i="7"/>
  <c r="F188" i="7"/>
  <c r="F182" i="7"/>
  <c r="F172" i="7"/>
  <c r="F174" i="7"/>
  <c r="B242" i="7"/>
  <c r="B234" i="7"/>
  <c r="B228" i="7"/>
  <c r="B210" i="7"/>
  <c r="B204" i="7"/>
  <c r="B198" i="7"/>
  <c r="B192" i="7"/>
  <c r="B186" i="7"/>
  <c r="B178" i="7"/>
  <c r="B170" i="7"/>
  <c r="B248" i="7"/>
  <c r="B244" i="7"/>
  <c r="B240" i="7"/>
  <c r="B236" i="7"/>
  <c r="B232" i="7"/>
  <c r="B230" i="7"/>
  <c r="B226" i="7"/>
  <c r="B224" i="7"/>
  <c r="B220" i="7"/>
  <c r="B218" i="7"/>
  <c r="B214" i="7"/>
  <c r="B212" i="7"/>
  <c r="B208" i="7"/>
  <c r="B206" i="7"/>
  <c r="B202" i="7"/>
  <c r="B200" i="7"/>
  <c r="B196" i="7"/>
  <c r="B194" i="7"/>
  <c r="B190" i="7"/>
  <c r="B188" i="7"/>
  <c r="B182" i="7"/>
  <c r="B184" i="7"/>
  <c r="B180" i="7"/>
  <c r="B176" i="7"/>
  <c r="B172" i="7"/>
  <c r="B104" i="7"/>
  <c r="B102" i="7"/>
  <c r="B98" i="7"/>
  <c r="B160" i="7"/>
  <c r="B166" i="7"/>
  <c r="B164" i="7"/>
  <c r="F162" i="7"/>
  <c r="B162" i="7"/>
  <c r="F160" i="7"/>
  <c r="B152" i="7"/>
  <c r="B158" i="7"/>
  <c r="B156" i="7"/>
  <c r="F154" i="7"/>
  <c r="B154" i="7"/>
  <c r="F152" i="7"/>
  <c r="B144" i="7"/>
  <c r="B150" i="7"/>
  <c r="B148" i="7"/>
  <c r="F146" i="7"/>
  <c r="B146" i="7"/>
  <c r="F144" i="7"/>
  <c r="B136" i="7"/>
  <c r="B140" i="7"/>
  <c r="B142" i="7"/>
  <c r="F138" i="7"/>
  <c r="B138" i="7"/>
  <c r="F136" i="7"/>
  <c r="B128" i="7"/>
  <c r="B132" i="7"/>
  <c r="F130" i="7"/>
  <c r="B134" i="7"/>
  <c r="B130" i="7"/>
  <c r="F128" i="7"/>
  <c r="B120" i="7"/>
  <c r="B124" i="7"/>
  <c r="F122" i="7"/>
  <c r="B126" i="7"/>
  <c r="B122" i="7"/>
  <c r="B100" i="7"/>
  <c r="F116" i="7"/>
  <c r="F114" i="7"/>
  <c r="B114" i="7"/>
  <c r="B108" i="7"/>
  <c r="B112" i="7"/>
  <c r="F106" i="7"/>
  <c r="F92" i="7"/>
  <c r="B110" i="7"/>
  <c r="B106" i="7"/>
  <c r="B84" i="7"/>
  <c r="B94" i="7"/>
  <c r="B92" i="7"/>
  <c r="F90" i="7"/>
  <c r="F84" i="7"/>
  <c r="F86" i="7"/>
  <c r="B88" i="7"/>
  <c r="B86" i="7"/>
  <c r="F80" i="7"/>
  <c r="B82" i="7"/>
  <c r="B80" i="7"/>
  <c r="F68" i="7"/>
  <c r="B70" i="7"/>
  <c r="B68" i="7"/>
  <c r="B66" i="7"/>
  <c r="F64" i="7"/>
  <c r="B64" i="7"/>
  <c r="B62" i="7"/>
  <c r="F60" i="7"/>
  <c r="F56" i="7"/>
  <c r="B60" i="7"/>
  <c r="F58" i="7"/>
  <c r="B58" i="7"/>
  <c r="B56" i="7"/>
  <c r="F54" i="7"/>
  <c r="F52" i="7"/>
  <c r="F50" i="7"/>
  <c r="B52" i="7"/>
  <c r="B50" i="7"/>
  <c r="F48" i="7"/>
  <c r="F44" i="7"/>
  <c r="F46" i="7"/>
  <c r="B46" i="7"/>
  <c r="B44" i="7"/>
  <c r="F42" i="7"/>
  <c r="B90" i="7"/>
  <c r="B54" i="7"/>
  <c r="B48" i="7"/>
  <c r="B42" i="7"/>
  <c r="B40" i="7"/>
  <c r="ABK6" i="10" l="1"/>
  <c r="ST6" i="10"/>
  <c r="YQ6" i="10"/>
  <c r="SB6" i="10"/>
  <c r="SC5" i="10"/>
  <c r="SC6" i="10" s="1"/>
  <c r="UI6" i="10"/>
  <c r="UH6" i="10"/>
  <c r="RF6" i="10"/>
  <c r="IL6" i="10"/>
  <c r="IK6" i="10"/>
  <c r="EL6" i="10"/>
  <c r="ABA6" i="10"/>
  <c r="AAZ6" i="10"/>
  <c r="SD6" i="10"/>
  <c r="SF5" i="10"/>
  <c r="SF6" i="10" s="1"/>
  <c r="RU6" i="10"/>
  <c r="M6" i="10"/>
  <c r="UY6" i="10"/>
  <c r="RS6" i="10"/>
  <c r="SY6" i="10"/>
  <c r="RW6" i="10"/>
  <c r="RY5" i="10"/>
  <c r="RY6" i="10" s="1"/>
  <c r="TL6" i="10"/>
  <c r="TE6" i="10"/>
  <c r="RO6" i="10"/>
  <c r="WE6" i="10"/>
  <c r="SP6" i="10"/>
  <c r="SN6" i="10"/>
  <c r="SL6" i="10"/>
  <c r="SM5" i="10"/>
  <c r="SM6" i="10" s="1"/>
  <c r="SJ6" i="10"/>
  <c r="SH6" i="10"/>
  <c r="RG6" i="10"/>
  <c r="RI6" i="10"/>
  <c r="RC6" i="10"/>
  <c r="RB6" i="10"/>
  <c r="PR6" i="10"/>
  <c r="ACG6" i="10"/>
  <c r="ACI6" i="10"/>
  <c r="ACL6" i="10"/>
  <c r="ACW6" i="10"/>
  <c r="ACQ6" i="10"/>
  <c r="ACN6" i="10"/>
  <c r="ABS6" i="10"/>
  <c r="ABP6" i="10"/>
  <c r="ACE6" i="10"/>
  <c r="ACS6" i="10"/>
  <c r="AFV6" i="10"/>
  <c r="DS5" i="10"/>
  <c r="DS6" i="10" s="1"/>
  <c r="AG6" i="10"/>
  <c r="AFO6" i="10"/>
  <c r="AFN6" i="10"/>
  <c r="AK6" i="10"/>
  <c r="DW6" i="10"/>
  <c r="CI6" i="10"/>
  <c r="ZA6" i="10"/>
  <c r="XX6" i="10"/>
  <c r="XY6" i="10"/>
  <c r="YE6" i="10"/>
  <c r="XO6" i="10"/>
  <c r="XF6" i="10"/>
  <c r="YZ6" i="10"/>
  <c r="VI6" i="10"/>
  <c r="VL6" i="10"/>
  <c r="AFM6" i="10"/>
  <c r="IE6" i="10"/>
  <c r="IG6" i="10"/>
  <c r="IF6" i="10"/>
  <c r="UC6" i="10"/>
  <c r="UA6" i="10"/>
  <c r="TZ6" i="10"/>
  <c r="TX6" i="10"/>
  <c r="TV6" i="10"/>
  <c r="ABI6" i="10"/>
  <c r="ABG6" i="10"/>
  <c r="ABF6" i="10"/>
  <c r="ABC6" i="10"/>
  <c r="AAQ6" i="10"/>
  <c r="AAN6" i="10"/>
  <c r="AAT6" i="10"/>
  <c r="AAU6" i="10"/>
  <c r="ADG6" i="10"/>
  <c r="ADI6" i="10"/>
  <c r="ADJ6" i="10"/>
  <c r="ADN6" i="10"/>
  <c r="AFI6" i="10"/>
  <c r="AFE6" i="10"/>
  <c r="AEZ6" i="10"/>
  <c r="AEX6" i="10"/>
  <c r="UT6" i="10"/>
  <c r="WA6" i="10"/>
  <c r="VU6" i="10"/>
  <c r="VS6" i="10"/>
  <c r="VY6" i="10"/>
  <c r="VW6" i="10"/>
  <c r="VQ6" i="10"/>
  <c r="VF6" i="10"/>
  <c r="UN6" i="10"/>
  <c r="R6" i="10"/>
  <c r="Z6" i="10"/>
  <c r="X6" i="10"/>
  <c r="D6" i="10"/>
  <c r="C6" i="10"/>
  <c r="RV5" i="10"/>
  <c r="RV6" i="10" s="1"/>
  <c r="SU5" i="10"/>
  <c r="SU6" i="10" s="1"/>
  <c r="RX5" i="10"/>
  <c r="RX6" i="10" s="1"/>
  <c r="SG5" i="10"/>
  <c r="SG6" i="10" s="1"/>
  <c r="SW5" i="10"/>
  <c r="SW6" i="10" s="1"/>
  <c r="SX5" i="10"/>
  <c r="SX6" i="10" s="1"/>
  <c r="SK5" i="10"/>
  <c r="SK6" i="10" s="1"/>
  <c r="SZ5" i="10"/>
  <c r="SZ6" i="10" s="1"/>
  <c r="TB5" i="10"/>
  <c r="TB6" i="10" s="1"/>
  <c r="TD5" i="10"/>
  <c r="TD6" i="10" s="1"/>
  <c r="TF5" i="10"/>
  <c r="TF6" i="10" s="1"/>
  <c r="RH5" i="10"/>
  <c r="RH6" i="10" s="1"/>
  <c r="NM6" i="10"/>
  <c r="SO5" i="10"/>
  <c r="SO6" i="10" s="1"/>
  <c r="RR5" i="10"/>
  <c r="RR6" i="10" s="1"/>
  <c r="RT5" i="10"/>
  <c r="RT6" i="10" s="1"/>
  <c r="SS5" i="10"/>
  <c r="SS6" i="10" s="1"/>
  <c r="QE5" i="10"/>
  <c r="QH5" i="10" s="1"/>
  <c r="QH6" i="10" s="1"/>
  <c r="QO5" i="10"/>
  <c r="QO6" i="10" s="1"/>
  <c r="QJ6" i="10"/>
  <c r="NR5" i="10"/>
  <c r="OS5" i="10"/>
  <c r="OT5" i="10" s="1"/>
  <c r="OT6" i="10" s="1"/>
  <c r="OL6" i="10"/>
  <c r="NN5" i="10"/>
  <c r="NN6" i="10" s="1"/>
  <c r="NO5" i="10"/>
  <c r="NO6" i="10" s="1"/>
  <c r="QK5" i="10"/>
  <c r="QK6" i="10" s="1"/>
  <c r="QL5" i="10"/>
  <c r="QL6" i="10" s="1"/>
  <c r="QV5" i="10"/>
  <c r="PY5" i="10"/>
  <c r="PS5" i="10"/>
  <c r="QP5" i="10"/>
  <c r="QS5" i="10" s="1"/>
  <c r="QS6" i="10" s="1"/>
  <c r="PA5" i="10"/>
  <c r="PI5" i="10"/>
  <c r="OA5" i="10"/>
  <c r="OA6" i="10" s="1"/>
  <c r="NZ5" i="10"/>
  <c r="NZ6" i="10" s="1"/>
  <c r="NY5" i="10"/>
  <c r="NY6" i="10" s="1"/>
  <c r="NX5" i="10"/>
  <c r="NX6" i="10" s="1"/>
  <c r="NW6" i="10"/>
  <c r="OO5" i="10"/>
  <c r="OO6" i="10" s="1"/>
  <c r="NP5" i="10"/>
  <c r="NP6" i="10" s="1"/>
  <c r="NR6" i="10"/>
  <c r="MR5" i="10"/>
  <c r="NH5" i="10"/>
  <c r="OB5" i="10"/>
  <c r="NS5" i="10"/>
  <c r="NS6" i="10" s="1"/>
  <c r="OM5" i="10"/>
  <c r="OM6" i="10" s="1"/>
  <c r="OG5" i="10"/>
  <c r="ON5" i="10"/>
  <c r="ON6" i="10" s="1"/>
  <c r="OR5" i="10"/>
  <c r="OR6" i="10" s="1"/>
  <c r="OP5" i="10"/>
  <c r="OP6" i="10" s="1"/>
  <c r="MY5" i="10"/>
  <c r="QM5" i="10"/>
  <c r="QM6" i="10" s="1"/>
  <c r="JP5" i="10"/>
  <c r="JP6" i="10" s="1"/>
  <c r="JS6" i="10"/>
  <c r="JY5" i="10"/>
  <c r="JY6" i="10" s="1"/>
  <c r="KI5" i="10"/>
  <c r="KI6" i="10" s="1"/>
  <c r="IO5" i="10"/>
  <c r="IO6" i="10" s="1"/>
  <c r="IX5" i="10"/>
  <c r="IX6" i="10" s="1"/>
  <c r="FU6" i="10"/>
  <c r="FM6" i="10"/>
  <c r="IQ5" i="10"/>
  <c r="IQ6" i="10" s="1"/>
  <c r="IY5" i="10"/>
  <c r="JH5" i="10"/>
  <c r="JH6" i="10" s="1"/>
  <c r="JQ5" i="10"/>
  <c r="JQ6" i="10" s="1"/>
  <c r="KA5" i="10"/>
  <c r="KA6" i="10" s="1"/>
  <c r="KJ5" i="10"/>
  <c r="KJ6" i="10" s="1"/>
  <c r="KN5" i="10"/>
  <c r="KT5" i="10" s="1"/>
  <c r="IP6" i="10"/>
  <c r="DP6" i="10"/>
  <c r="IR5" i="10"/>
  <c r="IR6" i="10" s="1"/>
  <c r="IZ5" i="10"/>
  <c r="IZ6" i="10" s="1"/>
  <c r="JI5" i="10"/>
  <c r="JI6" i="10" s="1"/>
  <c r="JR5" i="10"/>
  <c r="JR6" i="10" s="1"/>
  <c r="KB5" i="10"/>
  <c r="KB6" i="10" s="1"/>
  <c r="KK5" i="10"/>
  <c r="KX5" i="10"/>
  <c r="JG5" i="10"/>
  <c r="JG6" i="10" s="1"/>
  <c r="IS5" i="10"/>
  <c r="JA5" i="10"/>
  <c r="JA6" i="10" s="1"/>
  <c r="JJ5" i="10"/>
  <c r="JJ6" i="10" s="1"/>
  <c r="JT5" i="10"/>
  <c r="JT6" i="10" s="1"/>
  <c r="KL5" i="10"/>
  <c r="KL6" i="10" s="1"/>
  <c r="IT5" i="10"/>
  <c r="IT6" i="10" s="1"/>
  <c r="JC5" i="10"/>
  <c r="JC6" i="10" s="1"/>
  <c r="JK5" i="10"/>
  <c r="JK6" i="10" s="1"/>
  <c r="JU5" i="10"/>
  <c r="KD5" i="10"/>
  <c r="KD6" i="10" s="1"/>
  <c r="JD5" i="10"/>
  <c r="JD6" i="10" s="1"/>
  <c r="JL5" i="10"/>
  <c r="JL6" i="10" s="1"/>
  <c r="JV5" i="10"/>
  <c r="KE5" i="10"/>
  <c r="KE6" i="10" s="1"/>
  <c r="IV6" i="10"/>
  <c r="JN6" i="10"/>
  <c r="JB6" i="10"/>
  <c r="CN6" i="10"/>
  <c r="JE5" i="10"/>
  <c r="JE6" i="10" s="1"/>
  <c r="JM5" i="10"/>
  <c r="JM6" i="10" s="1"/>
  <c r="KG5" i="10"/>
  <c r="KG6" i="10" s="1"/>
  <c r="EA6" i="10"/>
  <c r="DK6" i="10"/>
  <c r="JZ5" i="10"/>
  <c r="JZ6" i="10" s="1"/>
  <c r="KF5" i="10"/>
  <c r="MR6" i="10"/>
  <c r="MK5" i="10"/>
  <c r="MQ5" i="10" s="1"/>
  <c r="HK6" i="10"/>
  <c r="GW6" i="10"/>
  <c r="EU5" i="10"/>
  <c r="EU6" i="10" s="1"/>
  <c r="ER5" i="10"/>
  <c r="ER6" i="10" s="1"/>
  <c r="HX5" i="10"/>
  <c r="HX6" i="10" s="1"/>
  <c r="HW5" i="10"/>
  <c r="HW6" i="10" s="1"/>
  <c r="HV5" i="10"/>
  <c r="HV6" i="10" s="1"/>
  <c r="IC5" i="10"/>
  <c r="IC6" i="10" s="1"/>
  <c r="IB5" i="10"/>
  <c r="IB6" i="10" s="1"/>
  <c r="HT5" i="10"/>
  <c r="HT6" i="10" s="1"/>
  <c r="IA5" i="10"/>
  <c r="IA6" i="10" s="1"/>
  <c r="HS5" i="10"/>
  <c r="HS6" i="10" s="1"/>
  <c r="HZ5" i="10"/>
  <c r="HZ6" i="10" s="1"/>
  <c r="HR5" i="10"/>
  <c r="HR6" i="10" s="1"/>
  <c r="HY5" i="10"/>
  <c r="HY6" i="10" s="1"/>
  <c r="GL5" i="10"/>
  <c r="GL6" i="10" s="1"/>
  <c r="HL5" i="10"/>
  <c r="HE5" i="10"/>
  <c r="HE6" i="10" s="1"/>
  <c r="HD5" i="10"/>
  <c r="HD6" i="10" s="1"/>
  <c r="HJ5" i="10"/>
  <c r="HJ6" i="10" s="1"/>
  <c r="HB5" i="10"/>
  <c r="HB6" i="10" s="1"/>
  <c r="HI5" i="10"/>
  <c r="HI6" i="10" s="1"/>
  <c r="HA5" i="10"/>
  <c r="HH5" i="10"/>
  <c r="HH6" i="10" s="1"/>
  <c r="GZ5" i="10"/>
  <c r="FO5" i="10"/>
  <c r="FO6" i="10" s="1"/>
  <c r="FN5" i="10"/>
  <c r="FN6" i="10" s="1"/>
  <c r="FT5" i="10"/>
  <c r="FT6" i="10" s="1"/>
  <c r="FS5" i="10"/>
  <c r="FS6" i="10" s="1"/>
  <c r="FR5" i="10"/>
  <c r="FR6" i="10" s="1"/>
  <c r="GV5" i="10"/>
  <c r="GV6" i="10" s="1"/>
  <c r="GN5" i="10"/>
  <c r="GN6" i="10" s="1"/>
  <c r="GF5" i="10"/>
  <c r="GF6" i="10" s="1"/>
  <c r="FX5" i="10"/>
  <c r="GU5" i="10"/>
  <c r="GU6" i="10" s="1"/>
  <c r="GM5" i="10"/>
  <c r="GM6" i="10" s="1"/>
  <c r="GE5" i="10"/>
  <c r="GE6" i="10" s="1"/>
  <c r="FW5" i="10"/>
  <c r="FW6" i="10" s="1"/>
  <c r="GS5" i="10"/>
  <c r="GS6" i="10" s="1"/>
  <c r="GK5" i="10"/>
  <c r="GK6" i="10" s="1"/>
  <c r="GC5" i="10"/>
  <c r="GC6" i="10" s="1"/>
  <c r="GR5" i="10"/>
  <c r="GR6" i="10" s="1"/>
  <c r="GJ5" i="10"/>
  <c r="GJ6" i="10" s="1"/>
  <c r="GB5" i="10"/>
  <c r="GB6" i="10" s="1"/>
  <c r="GQ5" i="10"/>
  <c r="GQ6" i="10" s="1"/>
  <c r="GI5" i="10"/>
  <c r="GI6" i="10" s="1"/>
  <c r="GA5" i="10"/>
  <c r="GA6" i="10" s="1"/>
  <c r="FV5" i="10"/>
  <c r="FV6" i="10" s="1"/>
  <c r="GP5" i="10"/>
  <c r="GP6" i="10" s="1"/>
  <c r="HO5" i="10"/>
  <c r="HO6" i="10" s="1"/>
  <c r="FY5" i="10"/>
  <c r="GT5" i="10"/>
  <c r="GT6" i="10" s="1"/>
  <c r="FZ5" i="10"/>
  <c r="FZ6" i="10" s="1"/>
  <c r="GX5" i="10"/>
  <c r="GX6" i="10" s="1"/>
  <c r="HU5" i="10"/>
  <c r="HU6" i="10" s="1"/>
  <c r="GD5" i="10"/>
  <c r="GD6" i="10" s="1"/>
  <c r="GY5" i="10"/>
  <c r="GY6" i="10" s="1"/>
  <c r="DR5" i="10"/>
  <c r="DQ5" i="10"/>
  <c r="DQ6" i="10" s="1"/>
  <c r="DV5" i="10"/>
  <c r="DV6" i="10" s="1"/>
  <c r="DU5" i="10"/>
  <c r="DU6" i="10" s="1"/>
  <c r="DT5" i="10"/>
  <c r="DT6" i="10" s="1"/>
  <c r="GG5" i="10"/>
  <c r="HC5" i="10"/>
  <c r="HC6" i="10" s="1"/>
  <c r="FE5" i="10"/>
  <c r="FE6" i="10" s="1"/>
  <c r="HN5" i="10"/>
  <c r="HN6" i="10" s="1"/>
  <c r="HM5" i="10"/>
  <c r="HM6" i="10" s="1"/>
  <c r="FG5" i="10"/>
  <c r="FG6" i="10" s="1"/>
  <c r="GH5" i="10"/>
  <c r="GH6" i="10" s="1"/>
  <c r="HF5" i="10"/>
  <c r="HF6" i="10" s="1"/>
  <c r="CP5" i="10"/>
  <c r="CP6" i="10" s="1"/>
  <c r="FA5" i="10"/>
  <c r="FA6" i="10" s="1"/>
  <c r="FC5" i="10"/>
  <c r="FC6" i="10" s="1"/>
  <c r="ET5" i="10"/>
  <c r="ET6" i="10" s="1"/>
  <c r="EV5" i="10"/>
  <c r="EV6" i="10" s="1"/>
  <c r="EX5" i="10"/>
  <c r="EX6" i="10" s="1"/>
  <c r="EN5" i="10"/>
  <c r="EN6" i="10" s="1"/>
  <c r="EP5" i="10"/>
  <c r="EP6" i="10" s="1"/>
  <c r="CZ5" i="10"/>
  <c r="CZ6" i="10" s="1"/>
  <c r="DH5" i="10"/>
  <c r="DH6" i="10" s="1"/>
  <c r="CO5" i="10"/>
  <c r="CR5" i="10"/>
  <c r="CR6" i="10" s="1"/>
  <c r="FF5" i="10"/>
  <c r="FH5" i="10"/>
  <c r="FH6" i="10" s="1"/>
  <c r="FI5" i="10"/>
  <c r="FI6" i="10" s="1"/>
  <c r="FJ5" i="10"/>
  <c r="FJ6" i="10" s="1"/>
  <c r="FK5" i="10"/>
  <c r="FK6" i="10" s="1"/>
  <c r="FL5" i="10"/>
  <c r="FL6" i="10" s="1"/>
  <c r="EZ5" i="10"/>
  <c r="EZ6" i="10" s="1"/>
  <c r="FB5" i="10"/>
  <c r="FB6" i="10" s="1"/>
  <c r="EO5" i="10"/>
  <c r="EO6" i="10" s="1"/>
  <c r="EW5" i="10"/>
  <c r="EW6" i="10" s="1"/>
  <c r="EQ5" i="10"/>
  <c r="EQ6" i="10" s="1"/>
  <c r="ES5" i="10"/>
  <c r="ES6" i="10" s="1"/>
  <c r="EE5" i="10"/>
  <c r="EE6" i="10" s="1"/>
  <c r="EF5" i="10"/>
  <c r="EF6" i="10" s="1"/>
  <c r="EG5" i="10"/>
  <c r="EG6" i="10" s="1"/>
  <c r="EH5" i="10"/>
  <c r="EI5" i="10"/>
  <c r="EI6" i="10" s="1"/>
  <c r="EJ5" i="10"/>
  <c r="EJ6" i="10" s="1"/>
  <c r="EB5" i="10"/>
  <c r="EB6" i="10" s="1"/>
  <c r="EK5" i="10"/>
  <c r="EK6" i="10" s="1"/>
  <c r="ED5" i="10"/>
  <c r="ED6" i="10" s="1"/>
  <c r="DL5" i="10"/>
  <c r="DM5" i="10"/>
  <c r="DM6" i="10" s="1"/>
  <c r="DN5" i="10"/>
  <c r="DN6" i="10" s="1"/>
  <c r="DA5" i="10"/>
  <c r="DA6" i="10" s="1"/>
  <c r="DI5" i="10"/>
  <c r="DI6" i="10" s="1"/>
  <c r="DB5" i="10"/>
  <c r="DB6" i="10" s="1"/>
  <c r="DJ5" i="10"/>
  <c r="DJ6" i="10" s="1"/>
  <c r="CU5" i="10"/>
  <c r="DC5" i="10"/>
  <c r="DC6" i="10" s="1"/>
  <c r="CV5" i="10"/>
  <c r="CV6" i="10" s="1"/>
  <c r="DD5" i="10"/>
  <c r="DD6" i="10" s="1"/>
  <c r="CW5" i="10"/>
  <c r="CW6" i="10" s="1"/>
  <c r="DE5" i="10"/>
  <c r="DE6" i="10" s="1"/>
  <c r="CX5" i="10"/>
  <c r="CX6" i="10" s="1"/>
  <c r="DF5" i="10"/>
  <c r="DF6" i="10" s="1"/>
  <c r="CY5" i="10"/>
  <c r="CY6" i="10" s="1"/>
  <c r="DG5" i="10"/>
  <c r="DG6" i="10" s="1"/>
  <c r="CQ5" i="10"/>
  <c r="CQ6" i="10" s="1"/>
  <c r="F24" i="7"/>
  <c r="B36" i="7"/>
  <c r="B34" i="7"/>
  <c r="FF6" i="10" l="1"/>
  <c r="DR6" i="10"/>
  <c r="FY6" i="10"/>
  <c r="GG6" i="10"/>
  <c r="FX6" i="10"/>
  <c r="EH6" i="10"/>
  <c r="HA6" i="10"/>
  <c r="GZ6" i="10"/>
  <c r="KK6" i="10"/>
  <c r="IY6" i="10"/>
  <c r="IS6" i="10"/>
  <c r="KF6" i="10"/>
  <c r="OS6" i="10"/>
  <c r="OY5" i="10"/>
  <c r="OY6" i="10" s="1"/>
  <c r="OX5" i="10"/>
  <c r="OX6" i="10" s="1"/>
  <c r="OW5" i="10"/>
  <c r="OW6" i="10" s="1"/>
  <c r="OV5" i="10"/>
  <c r="OV6" i="10" s="1"/>
  <c r="QU5" i="10"/>
  <c r="QU6" i="10" s="1"/>
  <c r="QP6" i="10"/>
  <c r="QQ5" i="10"/>
  <c r="QQ6" i="10" s="1"/>
  <c r="QG5" i="10"/>
  <c r="QE6" i="10"/>
  <c r="QT5" i="10"/>
  <c r="QT6" i="10" s="1"/>
  <c r="QI5" i="10"/>
  <c r="QI6" i="10" s="1"/>
  <c r="C17" i="10"/>
  <c r="D17" i="10" s="1"/>
  <c r="CU6" i="10"/>
  <c r="HL6" i="10"/>
  <c r="DL6" i="10"/>
  <c r="CO6" i="10"/>
  <c r="C15" i="10"/>
  <c r="D15" i="10" s="1"/>
  <c r="C16" i="10"/>
  <c r="D16" i="10" s="1"/>
  <c r="C18" i="10"/>
  <c r="D18" i="10" s="1"/>
  <c r="C14" i="10"/>
  <c r="D14" i="10" s="1"/>
  <c r="C11" i="10"/>
  <c r="D11" i="10" s="1"/>
  <c r="OU5" i="10"/>
  <c r="OU6" i="10" s="1"/>
  <c r="QF5" i="10"/>
  <c r="QF6" i="10" s="1"/>
  <c r="NT5" i="10"/>
  <c r="NT6" i="10" s="1"/>
  <c r="NV5" i="10"/>
  <c r="NV6" i="10" s="1"/>
  <c r="NU5" i="10"/>
  <c r="NU6" i="10" s="1"/>
  <c r="PY6" i="10"/>
  <c r="QA5" i="10"/>
  <c r="QA6" i="10" s="1"/>
  <c r="PZ5" i="10"/>
  <c r="PZ6" i="10" s="1"/>
  <c r="QD5" i="10"/>
  <c r="QD6" i="10" s="1"/>
  <c r="QC5" i="10"/>
  <c r="QC6" i="10" s="1"/>
  <c r="QB5" i="10"/>
  <c r="QV6" i="10"/>
  <c r="RA5" i="10"/>
  <c r="RA6" i="10" s="1"/>
  <c r="QX5" i="10"/>
  <c r="QZ5" i="10"/>
  <c r="QZ6" i="10" s="1"/>
  <c r="QY5" i="10"/>
  <c r="QY6" i="10" s="1"/>
  <c r="QW5" i="10"/>
  <c r="QW6" i="10" s="1"/>
  <c r="PS6" i="10"/>
  <c r="PW5" i="10"/>
  <c r="PW6" i="10" s="1"/>
  <c r="PX5" i="10"/>
  <c r="PX6" i="10" s="1"/>
  <c r="PV5" i="10"/>
  <c r="PU5" i="10"/>
  <c r="PU6" i="10" s="1"/>
  <c r="PT5" i="10"/>
  <c r="PT6" i="10" s="1"/>
  <c r="QR5" i="10"/>
  <c r="PC5" i="10"/>
  <c r="PC6" i="10" s="1"/>
  <c r="PB5" i="10"/>
  <c r="PB6" i="10" s="1"/>
  <c r="PA6" i="10"/>
  <c r="PH5" i="10"/>
  <c r="PH6" i="10" s="1"/>
  <c r="PG5" i="10"/>
  <c r="PG6" i="10" s="1"/>
  <c r="PF5" i="10"/>
  <c r="PE5" i="10"/>
  <c r="PE6" i="10" s="1"/>
  <c r="PD5" i="10"/>
  <c r="PD6" i="10" s="1"/>
  <c r="PK5" i="10"/>
  <c r="PK6" i="10" s="1"/>
  <c r="PJ5" i="10"/>
  <c r="PJ6" i="10" s="1"/>
  <c r="PQ5" i="10"/>
  <c r="PQ6" i="10" s="1"/>
  <c r="PP5" i="10"/>
  <c r="PP6" i="10" s="1"/>
  <c r="PO5" i="10"/>
  <c r="PO6" i="10" s="1"/>
  <c r="PN5" i="10"/>
  <c r="PN6" i="10" s="1"/>
  <c r="PI6" i="10"/>
  <c r="PM5" i="10"/>
  <c r="PL5" i="10"/>
  <c r="PL6" i="10" s="1"/>
  <c r="OB6" i="10"/>
  <c r="OD5" i="10"/>
  <c r="OD6" i="10" s="1"/>
  <c r="OF5" i="10"/>
  <c r="OF6" i="10" s="1"/>
  <c r="OE5" i="10"/>
  <c r="OE6" i="10" s="1"/>
  <c r="OC5" i="10"/>
  <c r="OC6" i="10" s="1"/>
  <c r="NG5" i="10"/>
  <c r="NG6" i="10" s="1"/>
  <c r="NF5" i="10"/>
  <c r="NF6" i="10" s="1"/>
  <c r="NE5" i="10"/>
  <c r="NE6" i="10" s="1"/>
  <c r="NA5" i="10"/>
  <c r="NA6" i="10" s="1"/>
  <c r="NC5" i="10"/>
  <c r="NC6" i="10" s="1"/>
  <c r="NB5" i="10"/>
  <c r="NB6" i="10" s="1"/>
  <c r="MY6" i="10"/>
  <c r="MZ5" i="10"/>
  <c r="MZ6" i="10" s="1"/>
  <c r="ND5" i="10"/>
  <c r="ND6" i="10" s="1"/>
  <c r="OK5" i="10"/>
  <c r="OK6" i="10" s="1"/>
  <c r="OJ5" i="10"/>
  <c r="OJ6" i="10" s="1"/>
  <c r="OG6" i="10"/>
  <c r="OI5" i="10"/>
  <c r="OI6" i="10" s="1"/>
  <c r="OH5" i="10"/>
  <c r="OH6" i="10" s="1"/>
  <c r="NI5" i="10"/>
  <c r="NL5" i="10"/>
  <c r="NK5" i="10"/>
  <c r="NJ5" i="10"/>
  <c r="MS5" i="10"/>
  <c r="MS6" i="10" s="1"/>
  <c r="MX5" i="10"/>
  <c r="MX6" i="10" s="1"/>
  <c r="MW5" i="10"/>
  <c r="MW6" i="10" s="1"/>
  <c r="MU5" i="10"/>
  <c r="MU6" i="10" s="1"/>
  <c r="MT5" i="10"/>
  <c r="MT6" i="10" s="1"/>
  <c r="MV5" i="10"/>
  <c r="MV6" i="10" s="1"/>
  <c r="LX5" i="10"/>
  <c r="MD5" i="10"/>
  <c r="LR5" i="10"/>
  <c r="LL5" i="10"/>
  <c r="LE5" i="10"/>
  <c r="LI5" i="10" s="1"/>
  <c r="LI6" i="10" s="1"/>
  <c r="KX6" i="10"/>
  <c r="KY5" i="10"/>
  <c r="LD5" i="10" s="1"/>
  <c r="LD6" i="10" s="1"/>
  <c r="KO5" i="10"/>
  <c r="KO6" i="10" s="1"/>
  <c r="KR5" i="10"/>
  <c r="KR6" i="10" s="1"/>
  <c r="KQ5" i="10"/>
  <c r="KQ6" i="10" s="1"/>
  <c r="KP5" i="10"/>
  <c r="KP6" i="10" s="1"/>
  <c r="KN6" i="10"/>
  <c r="KS5" i="10"/>
  <c r="KS6" i="10" s="1"/>
  <c r="MK6" i="10"/>
  <c r="ML5" i="10"/>
  <c r="ML6" i="10" s="1"/>
  <c r="MQ6" i="10"/>
  <c r="MP5" i="10"/>
  <c r="MP6" i="10" s="1"/>
  <c r="MO5" i="10"/>
  <c r="MO6" i="10" s="1"/>
  <c r="MN5" i="10"/>
  <c r="MN6" i="10" s="1"/>
  <c r="MM5" i="10"/>
  <c r="MM6" i="10" s="1"/>
  <c r="KW5" i="10"/>
  <c r="KV5" i="10"/>
  <c r="KV6" i="10" s="1"/>
  <c r="KU5" i="10"/>
  <c r="KU6" i="10" s="1"/>
  <c r="KT6" i="10"/>
  <c r="F36" i="7"/>
  <c r="B28" i="7"/>
  <c r="B168" i="7" s="1"/>
  <c r="F20" i="7"/>
  <c r="D8" i="9"/>
  <c r="B48" i="9"/>
  <c r="B276" i="7"/>
  <c r="B30" i="7"/>
  <c r="B250" i="7" s="1"/>
  <c r="B26" i="7"/>
  <c r="B96" i="7" s="1"/>
  <c r="B24" i="7"/>
  <c r="B38" i="7" s="1"/>
  <c r="F52" i="6"/>
  <c r="B52" i="6"/>
  <c r="D8" i="7"/>
  <c r="D6" i="7"/>
  <c r="D4" i="7"/>
  <c r="B116" i="9"/>
  <c r="B112" i="9"/>
  <c r="B110" i="9"/>
  <c r="B108" i="9"/>
  <c r="B98" i="9"/>
  <c r="B90" i="9"/>
  <c r="B106" i="9"/>
  <c r="B88" i="9"/>
  <c r="B22" i="9"/>
  <c r="B68" i="9"/>
  <c r="B64" i="9"/>
  <c r="B84" i="9"/>
  <c r="B80" i="9"/>
  <c r="B74" i="9"/>
  <c r="B72" i="9"/>
  <c r="B34" i="9"/>
  <c r="B36" i="9"/>
  <c r="B40" i="9"/>
  <c r="B30" i="9"/>
  <c r="B28" i="9"/>
  <c r="B26" i="9"/>
  <c r="B24" i="9"/>
  <c r="F86" i="1"/>
  <c r="B82" i="1"/>
  <c r="F78" i="1"/>
  <c r="B78" i="1"/>
  <c r="B76" i="1"/>
  <c r="F74" i="1"/>
  <c r="B86" i="1"/>
  <c r="B68" i="1"/>
  <c r="B50" i="8"/>
  <c r="B16" i="8"/>
  <c r="B58" i="8"/>
  <c r="B54" i="8"/>
  <c r="B48" i="8"/>
  <c r="B44" i="8"/>
  <c r="B42" i="8"/>
  <c r="B38" i="8"/>
  <c r="B36" i="8"/>
  <c r="B34" i="8"/>
  <c r="B20" i="8"/>
  <c r="B14" i="8"/>
  <c r="B16" i="5"/>
  <c r="B174" i="6"/>
  <c r="B34" i="5"/>
  <c r="B44" i="5"/>
  <c r="B42" i="5"/>
  <c r="B40" i="5"/>
  <c r="B32" i="5"/>
  <c r="F42" i="5"/>
  <c r="B36" i="5"/>
  <c r="F32" i="5"/>
  <c r="F28" i="5"/>
  <c r="F30" i="5"/>
  <c r="B30" i="5"/>
  <c r="B28" i="5"/>
  <c r="F26" i="5"/>
  <c r="B26" i="5"/>
  <c r="B22" i="5"/>
  <c r="B18" i="5"/>
  <c r="F40" i="5"/>
  <c r="F22" i="5"/>
  <c r="F44" i="5"/>
  <c r="B20" i="5"/>
  <c r="F18" i="5"/>
  <c r="B48" i="5"/>
  <c r="F46" i="5"/>
  <c r="F36" i="5"/>
  <c r="B14" i="5"/>
  <c r="D8" i="5"/>
  <c r="D6" i="5"/>
  <c r="F58" i="8"/>
  <c r="F42" i="8"/>
  <c r="B30" i="8"/>
  <c r="B24" i="8"/>
  <c r="F56" i="8"/>
  <c r="B56" i="8"/>
  <c r="F54" i="8"/>
  <c r="F50" i="8"/>
  <c r="F48" i="8"/>
  <c r="B18" i="8"/>
  <c r="F16" i="8"/>
  <c r="B32" i="8"/>
  <c r="F30" i="8"/>
  <c r="F28" i="8"/>
  <c r="B28" i="8"/>
  <c r="F24" i="8"/>
  <c r="B26" i="8"/>
  <c r="B22" i="8"/>
  <c r="F22" i="8"/>
  <c r="F26" i="8"/>
  <c r="F34" i="8"/>
  <c r="F36" i="8"/>
  <c r="B40" i="8"/>
  <c r="F38" i="8"/>
  <c r="B46" i="8"/>
  <c r="F44" i="8"/>
  <c r="F52" i="8"/>
  <c r="B52" i="8"/>
  <c r="F184" i="6"/>
  <c r="B184" i="6"/>
  <c r="F182" i="6"/>
  <c r="B182" i="6"/>
  <c r="F180" i="6"/>
  <c r="F178" i="6"/>
  <c r="F176" i="6"/>
  <c r="F174" i="6"/>
  <c r="F172" i="6"/>
  <c r="B180" i="6"/>
  <c r="B178" i="6"/>
  <c r="B176" i="6"/>
  <c r="B172" i="6"/>
  <c r="B136" i="6"/>
  <c r="F136" i="6"/>
  <c r="F134" i="6"/>
  <c r="B134" i="6"/>
  <c r="F132" i="6"/>
  <c r="D8" i="8"/>
  <c r="D6" i="8"/>
  <c r="D4" i="8"/>
  <c r="D6" i="9"/>
  <c r="D4" i="9"/>
  <c r="B86" i="9"/>
  <c r="F86" i="9"/>
  <c r="F84" i="9"/>
  <c r="F80" i="9"/>
  <c r="F82" i="9"/>
  <c r="B82" i="9"/>
  <c r="F78" i="9"/>
  <c r="F76" i="9"/>
  <c r="B78" i="9"/>
  <c r="B76" i="9"/>
  <c r="F72" i="9"/>
  <c r="F32" i="9"/>
  <c r="B32" i="9"/>
  <c r="B60" i="9"/>
  <c r="B52" i="9"/>
  <c r="B44" i="9"/>
  <c r="F26" i="9"/>
  <c r="F24" i="9"/>
  <c r="B118" i="9"/>
  <c r="F116" i="9"/>
  <c r="B114" i="9"/>
  <c r="F112" i="9"/>
  <c r="F108" i="9"/>
  <c r="F102" i="9"/>
  <c r="B104" i="9"/>
  <c r="B102" i="9"/>
  <c r="B100" i="9"/>
  <c r="F98" i="9"/>
  <c r="B96" i="9"/>
  <c r="F94" i="9"/>
  <c r="B94" i="9"/>
  <c r="F92" i="9"/>
  <c r="F90" i="9"/>
  <c r="B92" i="9"/>
  <c r="B28" i="3"/>
  <c r="B210" i="4"/>
  <c r="B162" i="4"/>
  <c r="B158" i="4"/>
  <c r="B154" i="4"/>
  <c r="B142" i="4"/>
  <c r="B136" i="4"/>
  <c r="B124" i="4"/>
  <c r="B110" i="4"/>
  <c r="B90" i="4"/>
  <c r="B84" i="4"/>
  <c r="B73" i="4"/>
  <c r="B52" i="4"/>
  <c r="B44" i="4"/>
  <c r="B81" i="4"/>
  <c r="B192" i="6"/>
  <c r="B186" i="6"/>
  <c r="B106" i="6"/>
  <c r="B96" i="6"/>
  <c r="B86" i="6"/>
  <c r="B74" i="6"/>
  <c r="B54" i="6"/>
  <c r="B30" i="6"/>
  <c r="B214" i="6"/>
  <c r="F212" i="6"/>
  <c r="B210" i="6"/>
  <c r="F208" i="6"/>
  <c r="B208" i="6"/>
  <c r="F206" i="6"/>
  <c r="B204" i="6"/>
  <c r="F202" i="6"/>
  <c r="B202" i="6"/>
  <c r="F200" i="6"/>
  <c r="B198" i="6"/>
  <c r="F196" i="6"/>
  <c r="B196" i="6"/>
  <c r="F194" i="6"/>
  <c r="B212" i="6"/>
  <c r="B206" i="6"/>
  <c r="B200" i="6"/>
  <c r="B194" i="6"/>
  <c r="F190" i="6"/>
  <c r="B190" i="6"/>
  <c r="B188" i="6"/>
  <c r="F16" i="6"/>
  <c r="F138" i="6"/>
  <c r="F142" i="6"/>
  <c r="F170" i="6"/>
  <c r="F168" i="6"/>
  <c r="F166" i="6"/>
  <c r="B164" i="6"/>
  <c r="F162" i="6"/>
  <c r="F152" i="6"/>
  <c r="B124" i="6"/>
  <c r="F122" i="6"/>
  <c r="B118" i="6"/>
  <c r="F114" i="6"/>
  <c r="F112" i="6"/>
  <c r="B120" i="6"/>
  <c r="B116" i="6"/>
  <c r="B114" i="6"/>
  <c r="B112" i="6"/>
  <c r="F110" i="6"/>
  <c r="F108" i="6"/>
  <c r="B170" i="6"/>
  <c r="B168" i="6"/>
  <c r="B166" i="6"/>
  <c r="B162" i="6"/>
  <c r="B160" i="6"/>
  <c r="B158" i="6"/>
  <c r="B156" i="6"/>
  <c r="B154" i="6"/>
  <c r="B152" i="6"/>
  <c r="B150" i="6"/>
  <c r="B148" i="6"/>
  <c r="B146" i="6"/>
  <c r="B144" i="6"/>
  <c r="B142" i="6"/>
  <c r="B138" i="6"/>
  <c r="B132" i="6"/>
  <c r="B130" i="6"/>
  <c r="B128" i="6"/>
  <c r="B126" i="6"/>
  <c r="B122" i="6"/>
  <c r="B110" i="6"/>
  <c r="B108" i="6"/>
  <c r="B104" i="6"/>
  <c r="F102" i="6"/>
  <c r="B102" i="6"/>
  <c r="F100" i="6"/>
  <c r="B100" i="6"/>
  <c r="B98" i="6"/>
  <c r="F92" i="6"/>
  <c r="B92" i="6"/>
  <c r="F90" i="6"/>
  <c r="B90" i="6"/>
  <c r="B88" i="6"/>
  <c r="B84" i="6"/>
  <c r="B82" i="6"/>
  <c r="B80" i="6"/>
  <c r="B78" i="6"/>
  <c r="B76" i="6"/>
  <c r="F84" i="6"/>
  <c r="F82" i="6"/>
  <c r="F80" i="6"/>
  <c r="F76" i="6"/>
  <c r="F64" i="6"/>
  <c r="F62" i="6"/>
  <c r="F60" i="6"/>
  <c r="F58" i="6"/>
  <c r="F56" i="6"/>
  <c r="B72" i="6"/>
  <c r="B70" i="6"/>
  <c r="B68" i="6"/>
  <c r="B66" i="6"/>
  <c r="B64" i="6"/>
  <c r="B62" i="6"/>
  <c r="B60" i="6"/>
  <c r="B56" i="6"/>
  <c r="F34" i="6"/>
  <c r="F50" i="6"/>
  <c r="B48" i="6"/>
  <c r="F46" i="6"/>
  <c r="F44" i="6"/>
  <c r="F40" i="6"/>
  <c r="F38" i="6"/>
  <c r="B50" i="6"/>
  <c r="B46" i="6"/>
  <c r="B44" i="6"/>
  <c r="B42" i="6"/>
  <c r="B40" i="6"/>
  <c r="B38" i="6"/>
  <c r="B36" i="6"/>
  <c r="B34" i="6"/>
  <c r="B32" i="6"/>
  <c r="F14" i="6"/>
  <c r="F28" i="3"/>
  <c r="F46" i="3"/>
  <c r="D8" i="6"/>
  <c r="D6" i="6"/>
  <c r="D4" i="6"/>
  <c r="F160" i="4"/>
  <c r="B160" i="4"/>
  <c r="B86" i="4"/>
  <c r="F214" i="4"/>
  <c r="B214" i="4"/>
  <c r="F212" i="4"/>
  <c r="B212" i="4"/>
  <c r="F36" i="4"/>
  <c r="B174" i="7"/>
  <c r="B70" i="3"/>
  <c r="B50" i="3"/>
  <c r="F50" i="3"/>
  <c r="F98" i="1"/>
  <c r="F208" i="4"/>
  <c r="B208" i="4"/>
  <c r="F194" i="4"/>
  <c r="B202" i="4"/>
  <c r="F200" i="4"/>
  <c r="B200" i="4"/>
  <c r="B198" i="4"/>
  <c r="F184" i="4"/>
  <c r="F180" i="4"/>
  <c r="F176" i="4"/>
  <c r="F172" i="4"/>
  <c r="F168" i="4"/>
  <c r="F164" i="4"/>
  <c r="B186" i="4"/>
  <c r="B182" i="4"/>
  <c r="B178" i="4"/>
  <c r="B174" i="4"/>
  <c r="B170" i="4"/>
  <c r="F188" i="4"/>
  <c r="B190" i="4"/>
  <c r="B188" i="4"/>
  <c r="B166" i="4"/>
  <c r="B184" i="4"/>
  <c r="B180" i="4"/>
  <c r="B176" i="4"/>
  <c r="B172" i="4"/>
  <c r="B168" i="4"/>
  <c r="B164" i="4"/>
  <c r="F30" i="4"/>
  <c r="F156" i="4"/>
  <c r="B156" i="4"/>
  <c r="F26" i="4"/>
  <c r="F28" i="4"/>
  <c r="B150" i="4"/>
  <c r="B152" i="4"/>
  <c r="B148" i="4"/>
  <c r="B146" i="4"/>
  <c r="B144" i="4"/>
  <c r="F144" i="4"/>
  <c r="B140" i="4"/>
  <c r="F138" i="4"/>
  <c r="B138" i="4"/>
  <c r="F24" i="4"/>
  <c r="F130" i="4"/>
  <c r="F132" i="4"/>
  <c r="F134" i="4"/>
  <c r="F128" i="4"/>
  <c r="F126" i="4"/>
  <c r="B128" i="4"/>
  <c r="B134" i="4"/>
  <c r="B132" i="4"/>
  <c r="B130" i="4"/>
  <c r="B126" i="4"/>
  <c r="F22" i="4"/>
  <c r="F116" i="4"/>
  <c r="F120" i="4"/>
  <c r="F122" i="4"/>
  <c r="B114" i="4"/>
  <c r="B122" i="4"/>
  <c r="B120" i="4"/>
  <c r="B118" i="4"/>
  <c r="B116" i="4"/>
  <c r="B112" i="4"/>
  <c r="F16" i="4"/>
  <c r="F20" i="4"/>
  <c r="F92" i="4"/>
  <c r="B94" i="4"/>
  <c r="B92" i="4"/>
  <c r="F86" i="4"/>
  <c r="B88" i="4"/>
  <c r="B79" i="4"/>
  <c r="F81" i="4"/>
  <c r="F77" i="4"/>
  <c r="B77" i="4"/>
  <c r="B75" i="4"/>
  <c r="F70" i="4"/>
  <c r="F66" i="4"/>
  <c r="F68" i="4"/>
  <c r="F64" i="4"/>
  <c r="F60" i="4"/>
  <c r="B66" i="4"/>
  <c r="F54" i="4"/>
  <c r="B70" i="4"/>
  <c r="B68" i="4"/>
  <c r="B64" i="4"/>
  <c r="B62" i="4"/>
  <c r="B60" i="4"/>
  <c r="B58" i="4"/>
  <c r="B56" i="4"/>
  <c r="B54" i="4"/>
  <c r="F14" i="4"/>
  <c r="B50" i="4"/>
  <c r="B48" i="4"/>
  <c r="B46" i="4"/>
  <c r="F46" i="4"/>
  <c r="F12" i="4"/>
  <c r="B44" i="3"/>
  <c r="B42" i="3"/>
  <c r="B40" i="3"/>
  <c r="B110" i="3"/>
  <c r="B72" i="3"/>
  <c r="D8" i="4"/>
  <c r="D6" i="4"/>
  <c r="D4" i="4"/>
  <c r="D8" i="3"/>
  <c r="D6" i="3"/>
  <c r="F126" i="3"/>
  <c r="F110" i="3"/>
  <c r="F106" i="3"/>
  <c r="F116" i="3"/>
  <c r="F112" i="3"/>
  <c r="F120" i="3"/>
  <c r="F104" i="3"/>
  <c r="F102" i="3"/>
  <c r="B126" i="3"/>
  <c r="B122" i="3"/>
  <c r="B120" i="3"/>
  <c r="B116" i="3"/>
  <c r="B112" i="3"/>
  <c r="B106" i="3"/>
  <c r="B104" i="3"/>
  <c r="B100" i="3"/>
  <c r="B102" i="3"/>
  <c r="B98" i="3"/>
  <c r="B96" i="3"/>
  <c r="B94" i="3"/>
  <c r="B90" i="3"/>
  <c r="B88" i="3"/>
  <c r="F90" i="3"/>
  <c r="B86" i="3"/>
  <c r="B82" i="3"/>
  <c r="B80" i="3"/>
  <c r="B78" i="3"/>
  <c r="F82" i="3"/>
  <c r="F80" i="3"/>
  <c r="B74" i="3"/>
  <c r="B68" i="3"/>
  <c r="B64" i="3"/>
  <c r="F16" i="3"/>
  <c r="F18" i="3"/>
  <c r="B62" i="3"/>
  <c r="B60" i="3"/>
  <c r="B58" i="3"/>
  <c r="B56" i="3"/>
  <c r="F36" i="3"/>
  <c r="B36" i="3"/>
  <c r="B26" i="3"/>
  <c r="B24" i="3"/>
  <c r="B22" i="3"/>
  <c r="F12" i="3"/>
  <c r="B54" i="3"/>
  <c r="B52" i="3"/>
  <c r="F52" i="3"/>
  <c r="B48" i="3"/>
  <c r="F38" i="3"/>
  <c r="B38" i="3"/>
  <c r="B34" i="3"/>
  <c r="B32" i="3"/>
  <c r="B30" i="3"/>
  <c r="B132" i="1"/>
  <c r="F130" i="1"/>
  <c r="F128" i="1"/>
  <c r="F109" i="1"/>
  <c r="F96" i="1"/>
  <c r="F90" i="1"/>
  <c r="F91" i="1"/>
  <c r="F92" i="1"/>
  <c r="F94" i="1"/>
  <c r="F56" i="1"/>
  <c r="F16" i="1"/>
  <c r="F100" i="1"/>
  <c r="F36" i="1"/>
  <c r="F40" i="1"/>
  <c r="F34" i="1"/>
  <c r="PM6" i="10" l="1"/>
  <c r="KW6" i="10"/>
  <c r="PF6" i="10"/>
  <c r="QX6" i="10"/>
  <c r="QB6" i="10"/>
  <c r="QG6" i="10"/>
  <c r="QR6" i="10"/>
  <c r="PV6" i="10"/>
  <c r="C12" i="10"/>
  <c r="D12" i="10" s="1"/>
  <c r="LA5" i="10"/>
  <c r="LA6" i="10" s="1"/>
  <c r="LB5" i="10"/>
  <c r="KZ5" i="10"/>
  <c r="KZ6" i="10" s="1"/>
  <c r="KY6" i="10"/>
  <c r="LC5" i="10"/>
  <c r="LC6" i="10" s="1"/>
  <c r="LH5" i="10"/>
  <c r="LH6" i="10" s="1"/>
  <c r="LE6" i="10"/>
  <c r="LJ5" i="10"/>
  <c r="LK5" i="10"/>
  <c r="LK6" i="10" s="1"/>
  <c r="LF5" i="10"/>
  <c r="LF6" i="10" s="1"/>
  <c r="LG5" i="10"/>
  <c r="LG6" i="10" s="1"/>
  <c r="LM5" i="10"/>
  <c r="LM6" i="10" s="1"/>
  <c r="LQ5" i="10"/>
  <c r="LQ6" i="10" s="1"/>
  <c r="LL6" i="10"/>
  <c r="LP5" i="10"/>
  <c r="LP6" i="10" s="1"/>
  <c r="LO5" i="10"/>
  <c r="LO6" i="10" s="1"/>
  <c r="LN5" i="10"/>
  <c r="LN6" i="10" s="1"/>
  <c r="LV5" i="10"/>
  <c r="LV6" i="10" s="1"/>
  <c r="LU5" i="10"/>
  <c r="LU6" i="10" s="1"/>
  <c r="LR6" i="10"/>
  <c r="LT5" i="10"/>
  <c r="LT6" i="10" s="1"/>
  <c r="LS5" i="10"/>
  <c r="LS6" i="10" s="1"/>
  <c r="LW5" i="10"/>
  <c r="LW6" i="10" s="1"/>
  <c r="ME5" i="10"/>
  <c r="ME6" i="10" s="1"/>
  <c r="MI5" i="10"/>
  <c r="MI6" i="10" s="1"/>
  <c r="MH5" i="10"/>
  <c r="MH6" i="10" s="1"/>
  <c r="MD6" i="10"/>
  <c r="MG5" i="10"/>
  <c r="MG6" i="10" s="1"/>
  <c r="MF5" i="10"/>
  <c r="MF6" i="10" s="1"/>
  <c r="LX6" i="10"/>
  <c r="LY5" i="10"/>
  <c r="LY6" i="10" s="1"/>
  <c r="MC5" i="10"/>
  <c r="MC6" i="10" s="1"/>
  <c r="MB5" i="10"/>
  <c r="MB6" i="10" s="1"/>
  <c r="MA5" i="10"/>
  <c r="MA6" i="10" s="1"/>
  <c r="LZ5" i="10"/>
  <c r="LB6" i="10" l="1"/>
  <c r="LZ6" i="10"/>
  <c r="C13" i="10" s="1"/>
  <c r="D13"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tc={74BA9621-56E3-40F8-8CAD-440F98E90EFB}</author>
    <author>Phil Hawyes</author>
    <author>tc={129F27F8-D617-496D-8DF7-B789C207C19D}</author>
  </authors>
  <commentList>
    <comment ref="B18" authorId="0" shapeId="0" xr:uid="{74BA9621-56E3-40F8-8CAD-440F98E90EFB}">
      <text>
        <t>[Threaded comment]
Your version of Excel allows you to read this threaded comment; however, any edits to it will get removed if the file is opened in a newer version of Excel. Learn more: https://go.microsoft.com/fwlink/?linkid=870924
Comment:
    Use Google Maps for coordinates.  Enter location onto google maps then right click on the pin that appears.  The top set of numbers are the coordiantes of the location.</t>
      </text>
    </comment>
    <comment ref="B26" authorId="1" shapeId="0" xr:uid="{5BAF5829-D434-4003-AE1A-112A457C0EE6}">
      <text>
        <r>
          <rPr>
            <b/>
            <sz val="9"/>
            <color indexed="81"/>
            <rFont val="Tahoma"/>
            <family val="2"/>
          </rPr>
          <t>Phil Hawyes:</t>
        </r>
        <r>
          <rPr>
            <sz val="9"/>
            <color indexed="81"/>
            <rFont val="Tahoma"/>
            <family val="2"/>
          </rPr>
          <t xml:space="preserve">
Refer to industry specifications</t>
        </r>
      </text>
    </comment>
    <comment ref="B30" authorId="2" shapeId="0" xr:uid="{129F27F8-D617-496D-8DF7-B789C207C19D}">
      <text>
        <t>[Threaded comment]
Your version of Excel allows you to read this threaded comment; however, any edits to it will get removed if the file is opened in a newer version of Excel. Learn more: https://go.microsoft.com/fwlink/?linkid=870924
Comment:
    ‘Those critical elements of infrastructure (namely assets, facilities, systems, networks or processes and the essential workers that operate and facilitate them), the loss or compromise of which could result in:
a)    Major detrimental impact on the availability, integrity or delivery of essential services – including those services whose integrity, if compromised, could result in significant loss of life or casualties – taking into account significant economic or social impacts; and/or
b)    Significant impact on national security, national defence, or the functioning of the state.’</t>
      </text>
    </comment>
    <comment ref="F40" authorId="1" shapeId="0" xr:uid="{FB505113-0C23-411D-BCDC-7FAE02B5BCA5}">
      <text>
        <r>
          <rPr>
            <b/>
            <sz val="9"/>
            <color indexed="81"/>
            <rFont val="Tahoma"/>
            <family val="2"/>
          </rPr>
          <t>Phil Hawyes:</t>
        </r>
        <r>
          <rPr>
            <sz val="9"/>
            <color indexed="81"/>
            <rFont val="Tahoma"/>
            <family val="2"/>
          </rPr>
          <t xml:space="preserve">
For example:
Security, Access limitations or restricted times, physical constraints such as lack of parking, Disability access etc.</t>
        </r>
      </text>
    </comment>
    <comment ref="B104" authorId="1" shapeId="0" xr:uid="{6F030221-98DD-450E-847D-31BA0EE6D9C8}">
      <text>
        <r>
          <rPr>
            <b/>
            <sz val="9"/>
            <color indexed="81"/>
            <rFont val="Tahoma"/>
            <family val="2"/>
          </rPr>
          <t>Phil Hawyes:</t>
        </r>
        <r>
          <rPr>
            <sz val="9"/>
            <color indexed="81"/>
            <rFont val="Tahoma"/>
            <family val="2"/>
          </rPr>
          <t xml:space="preserve">
Customer entrance, 
Staff entrances, 
Final exit fire doors
Roller shutters / Garage doors etc.</t>
        </r>
      </text>
    </comment>
    <comment ref="B108" authorId="1" shapeId="0" xr:uid="{DAE0B56E-CB36-4973-B8D1-005DF1F6485F}">
      <text>
        <r>
          <rPr>
            <b/>
            <sz val="9"/>
            <color indexed="81"/>
            <rFont val="Tahoma"/>
            <family val="2"/>
          </rPr>
          <t>Phil Hawyes:</t>
        </r>
        <r>
          <rPr>
            <sz val="9"/>
            <color indexed="81"/>
            <rFont val="Tahoma"/>
            <family val="2"/>
          </rPr>
          <t xml:space="preserve">
Site induction
Clearance issue
no lift / no ramp
Car parking
List out what these restrictions may be</t>
        </r>
      </text>
    </comment>
    <comment ref="B122" authorId="1" shapeId="0" xr:uid="{93EFA4A1-8E44-41D4-B478-30F084708244}">
      <text>
        <r>
          <rPr>
            <b/>
            <sz val="9"/>
            <color indexed="81"/>
            <rFont val="Tahoma"/>
            <family val="2"/>
          </rPr>
          <t>Phil Hawyes:</t>
        </r>
        <r>
          <rPr>
            <sz val="9"/>
            <color indexed="81"/>
            <rFont val="Tahoma"/>
            <family val="2"/>
          </rPr>
          <t xml:space="preserve">
This relates to disability access and reasonable adjustments that are in place to support the Eqaulity Act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 Hawyes</author>
  </authors>
  <commentList>
    <comment ref="F40" authorId="0" shapeId="0" xr:uid="{F1EBA5A0-1465-476C-B56E-89A74C9697A3}">
      <text>
        <r>
          <rPr>
            <b/>
            <sz val="9"/>
            <color indexed="81"/>
            <rFont val="Tahoma"/>
            <family val="2"/>
          </rPr>
          <t>Phil Hawyes:</t>
        </r>
        <r>
          <rPr>
            <sz val="9"/>
            <color indexed="81"/>
            <rFont val="Tahoma"/>
            <family val="2"/>
          </rPr>
          <t xml:space="preserve">
BMS, UPS, Generator, Septic tank alarm, fuel tank alarm etc.</t>
        </r>
      </text>
    </comment>
    <comment ref="B210" authorId="0" shapeId="0" xr:uid="{37C4ACB5-9F2E-4C91-B2FA-C989ADF77194}">
      <text>
        <r>
          <rPr>
            <b/>
            <sz val="9"/>
            <color indexed="81"/>
            <rFont val="Tahoma"/>
            <family val="2"/>
          </rPr>
          <t>Phil Hawyes:</t>
        </r>
        <r>
          <rPr>
            <sz val="9"/>
            <color indexed="81"/>
            <rFont val="Tahoma"/>
            <family val="2"/>
          </rPr>
          <t xml:space="preserve">
Gondola etc.</t>
        </r>
      </text>
    </comment>
    <comment ref="F216" authorId="0" shapeId="0" xr:uid="{70B859F4-0815-4DF2-B418-36DCE492E5DD}">
      <text>
        <r>
          <rPr>
            <b/>
            <sz val="9"/>
            <color indexed="81"/>
            <rFont val="Tahoma"/>
            <family val="2"/>
          </rPr>
          <t>Phil Hawyes:</t>
        </r>
        <r>
          <rPr>
            <sz val="9"/>
            <color indexed="81"/>
            <rFont val="Tahoma"/>
            <family val="2"/>
          </rPr>
          <t xml:space="preserve">
Include whether dispensor is hot, cold or both</t>
        </r>
      </text>
    </comment>
    <comment ref="F222" authorId="0" shapeId="0" xr:uid="{F4925E48-E4F3-481A-8427-41ADAFE0FB1E}">
      <text>
        <r>
          <rPr>
            <b/>
            <sz val="9"/>
            <color indexed="81"/>
            <rFont val="Tahoma"/>
            <family val="2"/>
          </rPr>
          <t>Phil Hawyes:</t>
        </r>
        <r>
          <rPr>
            <sz val="9"/>
            <color indexed="81"/>
            <rFont val="Tahoma"/>
            <family val="2"/>
          </rPr>
          <t xml:space="preserve">
E.G.  Under sink or wall mounted.  Do not include drinks hot water dispensors which are covered seperatly.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Phil Hawyes</author>
  </authors>
  <commentList>
    <comment ref="F188" authorId="0" shapeId="0" xr:uid="{60F7020F-CE83-4F3C-8EA8-8DF862D50A8D}">
      <text>
        <r>
          <rPr>
            <b/>
            <sz val="9"/>
            <color indexed="81"/>
            <rFont val="Tahoma"/>
            <family val="2"/>
          </rPr>
          <t>Phil Hawyes:</t>
        </r>
        <r>
          <rPr>
            <sz val="9"/>
            <color indexed="81"/>
            <rFont val="Tahoma"/>
            <family val="2"/>
          </rPr>
          <t xml:space="preserve">
Include frequencies of visits if this needs to be explicit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Phil Hawyes</author>
  </authors>
  <commentList>
    <comment ref="F64" authorId="0" shapeId="0" xr:uid="{762DF5B0-707A-4C26-9886-07D385EA7FDE}">
      <text>
        <r>
          <rPr>
            <b/>
            <sz val="9"/>
            <color indexed="81"/>
            <rFont val="Tahoma"/>
            <family val="2"/>
          </rPr>
          <t>Phil Hawyes:</t>
        </r>
        <r>
          <rPr>
            <sz val="9"/>
            <color indexed="81"/>
            <rFont val="Tahoma"/>
            <family val="2"/>
          </rPr>
          <t xml:space="preserve">
Indlude detail of No Mow areas
Option to specify "See plans".</t>
        </r>
      </text>
    </comment>
    <comment ref="F66" authorId="0" shapeId="0" xr:uid="{407042F1-29E0-46B4-B899-599F24850860}">
      <text>
        <r>
          <rPr>
            <b/>
            <sz val="9"/>
            <color indexed="81"/>
            <rFont val="Tahoma"/>
            <family val="2"/>
          </rPr>
          <t>Phil Hawyes:</t>
        </r>
        <r>
          <rPr>
            <sz val="9"/>
            <color indexed="81"/>
            <rFont val="Tahoma"/>
            <family val="2"/>
          </rPr>
          <t xml:space="preserve">
Option to specify "See plans".</t>
        </r>
      </text>
    </comment>
    <comment ref="F68" authorId="0" shapeId="0" xr:uid="{67ECBA2B-C6AE-4225-BB40-239B6F9C5983}">
      <text>
        <r>
          <rPr>
            <b/>
            <sz val="9"/>
            <color indexed="81"/>
            <rFont val="Tahoma"/>
            <family val="2"/>
          </rPr>
          <t>Phil Hawyes:</t>
        </r>
        <r>
          <rPr>
            <sz val="9"/>
            <color indexed="81"/>
            <rFont val="Tahoma"/>
            <family val="2"/>
          </rPr>
          <t xml:space="preserve">
Option to specify "See plans".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Phil Hawyes</author>
  </authors>
  <commentList>
    <comment ref="B56" authorId="0" shapeId="0" xr:uid="{15DBB907-7C56-4ABB-867B-9657C04FF45E}">
      <text>
        <r>
          <rPr>
            <b/>
            <sz val="9"/>
            <color indexed="81"/>
            <rFont val="Tahoma"/>
            <family val="2"/>
          </rPr>
          <t>Phil Hawyes:</t>
        </r>
        <r>
          <rPr>
            <sz val="9"/>
            <color indexed="81"/>
            <rFont val="Tahoma"/>
            <family val="2"/>
          </rPr>
          <t xml:space="preserve">
Please note this is separate from confidential waste paper collections</t>
        </r>
      </text>
    </comment>
    <comment ref="B64" authorId="0" shapeId="0" xr:uid="{0729E4E4-9653-4C0B-87FB-AF9C429AB5FE}">
      <text>
        <r>
          <rPr>
            <b/>
            <sz val="9"/>
            <color indexed="81"/>
            <rFont val="Tahoma"/>
            <family val="2"/>
          </rPr>
          <t>Phil Hawyes:</t>
        </r>
        <r>
          <rPr>
            <sz val="9"/>
            <color indexed="81"/>
            <rFont val="Tahoma"/>
            <family val="2"/>
          </rPr>
          <t xml:space="preserve">
Checking, cleaning, repairing, refurbishing, whole items or spare parts, preferably avoiding any other pre—processing. Reuse here means using a substance, product or material again before it becomes waste.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tc={43815512-4977-449B-BC1C-4E69F42AC3A1}</author>
    <author>tc={FFA173E4-F96C-47EB-9BEF-6804B4B382FD}</author>
    <author>tc={D5A8290B-2744-450E-9534-B0DDF876E8BA}</author>
    <author>tc={D23BAF4B-15EF-49E5-85B2-2867D246C533}</author>
    <author>tc={A24D79E6-AE3A-4E2F-A5A9-71CCD7EA8A4F}</author>
    <author>tc={3E977E60-DFA8-4403-BBC7-DC02F56801CF}</author>
    <author>tc={7507884D-B759-4313-BC16-491EDE5EECE8}</author>
    <author>tc={7F4EE42A-B93D-4B74-93A6-AEEDE9827B32}</author>
    <author>tc={A9FED5C5-3F36-4881-9BA2-83AE7B0BF3EF}</author>
    <author>tc={252F76EE-B385-4632-BEB4-EC57AB05C952}</author>
    <author>tc={E21FA6D3-1235-434A-8EE9-6F88B8CDDB08}</author>
    <author>tc={ED79C201-E9C9-4F91-B77A-53498F2F19CC}</author>
    <author>tc={452A42E1-696C-4A73-ABD8-CFA0484A074E}</author>
    <author>tc={05F6D6FC-EE19-4E4E-9DF2-096CA7203D8B}</author>
    <author>tc={70AAC73F-E43D-4849-991E-20D153FCBFFA}</author>
  </authors>
  <commentList>
    <comment ref="C1" authorId="0" shapeId="0" xr:uid="{43815512-4977-449B-BC1C-4E69F42AC3A1}">
      <text>
        <t>[Threaded comment]
Your version of Excel allows you to read this threaded comment; however, any edits to it will get removed if the file is opened in a newer version of Excel. Learn more: https://go.microsoft.com/fwlink/?linkid=870924
Comment:
    Not recorded on BP's, but should be a standard requirement so any site where there is a requirement for helpdesk has this automatically set to Standard.</t>
      </text>
    </comment>
    <comment ref="C5" authorId="1" shapeId="0" xr:uid="{FFA173E4-F96C-47EB-9BEF-6804B4B382FD}">
      <text>
        <t>[Threaded comment]
Your version of Excel allows you to read this threaded comment; however, any edits to it will get removed if the file is opened in a newer version of Excel. Learn more: https://go.microsoft.com/fwlink/?linkid=870924
Comment:
    Not used</t>
      </text>
    </comment>
    <comment ref="C10" authorId="2" shapeId="0" xr:uid="{D5A8290B-2744-450E-9534-B0DDF876E8BA}">
      <text>
        <t>[Threaded comment]
Your version of Excel allows you to read this threaded comment; however, any edits to it will get removed if the file is opened in a newer version of Excel. Learn more: https://go.microsoft.com/fwlink/?linkid=870924
Comment:
    Building pack has this as a yes or no so defaulted to standard.</t>
      </text>
    </comment>
    <comment ref="C24" authorId="3" shapeId="0" xr:uid="{D23BAF4B-15EF-49E5-85B2-2867D246C533}">
      <text>
        <t>[Threaded comment]
Your version of Excel allows you to read this threaded comment; however, any edits to it will get removed if the file is opened in a newer version of Excel. Learn more: https://go.microsoft.com/fwlink/?linkid=870924
Comment:
    Using our instruction for internal fabric maintenance
Reply:
    Consider changing to any M&amp;E service</t>
      </text>
    </comment>
    <comment ref="C25" authorId="4" shapeId="0" xr:uid="{A24D79E6-AE3A-4E2F-A5A9-71CCD7EA8A4F}">
      <text>
        <t>[Threaded comment]
Your version of Excel allows you to read this threaded comment; however, any edits to it will get removed if the file is opened in a newer version of Excel. Learn more: https://go.microsoft.com/fwlink/?linkid=870924
Comment:
    Check with CCS if this service is being priced for?  Scope states Billable.</t>
      </text>
    </comment>
    <comment ref="C39" authorId="5" shapeId="0" xr:uid="{3E977E60-DFA8-4403-BBC7-DC02F56801CF}">
      <text>
        <t>[Threaded comment]
Your version of Excel allows you to read this threaded comment; however, any edits to it will get removed if the file is opened in a newer version of Excel. Learn more: https://go.microsoft.com/fwlink/?linkid=870924
Comment:
    Only applicable to DfT and HS2 - Manual input</t>
      </text>
    </comment>
    <comment ref="C57" authorId="6" shapeId="0" xr:uid="{7507884D-B759-4313-BC16-491EDE5EECE8}">
      <text>
        <t>[Threaded comment]
Your version of Excel allows you to read this threaded comment; however, any edits to it will get removed if the file is opened in a newer version of Excel. Learn more: https://go.microsoft.com/fwlink/?linkid=870924
Comment:
    Helipads and MMA's listed as non-standard - check</t>
      </text>
    </comment>
    <comment ref="C60" authorId="7" shapeId="0" xr:uid="{7F4EE42A-B93D-4B74-93A6-AEEDE9827B32}">
      <text>
        <t>[Threaded comment]
Your version of Excel allows you to read this threaded comment; however, any edits to it will get removed if the file is opened in a newer version of Excel. Learn more: https://go.microsoft.com/fwlink/?linkid=870924
Comment:
    Non-std is higher trigger</t>
      </text>
    </comment>
    <comment ref="C86" authorId="8" shapeId="0" xr:uid="{A9FED5C5-3F36-4881-9BA2-83AE7B0BF3EF}">
      <text>
        <t>[Threaded comment]
Your version of Excel allows you to read this threaded comment; however, any edits to it will get removed if the file is opened in a newer version of Excel. Learn more: https://go.microsoft.com/fwlink/?linkid=870924
Comment:
    How do we manage this
Reply:
    Check with MCA if it's logical to link this to Hard Landscaping.</t>
      </text>
    </comment>
    <comment ref="C89" authorId="9" shapeId="0" xr:uid="{252F76EE-B385-4632-BEB4-EC57AB05C952}">
      <text>
        <t>[Threaded comment]
Your version of Excel allows you to read this threaded comment; however, any edits to it will get removed if the file is opened in a newer version of Excel. Learn more: https://go.microsoft.com/fwlink/?linkid=870924
Comment:
    How do we populate.  Not included in BP.
Reply:
    Manual entry</t>
      </text>
    </comment>
    <comment ref="C96" authorId="10" shapeId="0" xr:uid="{E21FA6D3-1235-434A-8EE9-6F88B8CDDB08}">
      <text>
        <t>[Threaded comment]
Your version of Excel allows you to read this threaded comment; however, any edits to it will get removed if the file is opened in a newer version of Excel. Learn more: https://go.microsoft.com/fwlink/?linkid=870924
Comment:
    Non-standard if restrictions in methods used</t>
      </text>
    </comment>
    <comment ref="C102" authorId="11" shapeId="0" xr:uid="{ED79C201-E9C9-4F91-B77A-53498F2F19CC}">
      <text>
        <t>[Threaded comment]
Your version of Excel allows you to read this threaded comment; however, any edits to it will get removed if the file is opened in a newer version of Excel. Learn more: https://go.microsoft.com/fwlink/?linkid=870924
Comment:
    We've called handyman</t>
      </text>
    </comment>
    <comment ref="C114" authorId="12" shapeId="0" xr:uid="{452A42E1-696C-4A73-ABD8-CFA0484A074E}">
      <text>
        <t>[Threaded comment]
Your version of Excel allows you to read this threaded comment; however, any edits to it will get removed if the file is opened in a newer version of Excel. Learn more: https://go.microsoft.com/fwlink/?linkid=870924
Comment:
    Manual input other than SAMs</t>
      </text>
    </comment>
    <comment ref="C116" authorId="13" shapeId="0" xr:uid="{05F6D6FC-EE19-4E4E-9DF2-096CA7203D8B}">
      <text>
        <t>[Threaded comment]
Your version of Excel allows you to read this threaded comment; however, any edits to it will get removed if the file is opened in a newer version of Excel. Learn more: https://go.microsoft.com/fwlink/?linkid=870924
Comment:
    Assumption that ooh service is non-standard</t>
      </text>
    </comment>
    <comment ref="C125" authorId="14" shapeId="0" xr:uid="{70AAC73F-E43D-4849-991E-20D153FCBFFA}">
      <text>
        <t>[Threaded comment]
Your version of Excel allows you to read this threaded comment; however, any edits to it will get removed if the file is opened in a newer version of Excel. Learn more: https://go.microsoft.com/fwlink/?linkid=870924
Comment:
    Manual input</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tc={E70021CB-06D5-475E-9CD4-6B8B6B508363}</author>
  </authors>
  <commentList>
    <comment ref="B17" authorId="0" shapeId="0" xr:uid="{E70021CB-06D5-475E-9CD4-6B8B6B508363}">
      <text>
        <t>[Threaded comment]
Your version of Excel allows you to read this threaded comment; however, any edits to it will get removed if the file is opened in a newer version of Excel. Learn more: https://go.microsoft.com/fwlink/?linkid=870924
Comment:
    What does this mean?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<sst xmlns="http://schemas.openxmlformats.org/spreadsheetml/2006/main" count="1611" uniqueCount="985">
  <si>
    <t>Instructions</t>
  </si>
  <si>
    <r>
      <t>·</t>
    </r>
    <r>
      <rPr>
        <sz val="7"/>
        <color rgb="FF000000"/>
        <rFont val="Times New Roman"/>
        <family val="1"/>
      </rPr>
      <t xml:space="preserve">         </t>
    </r>
    <r>
      <rPr>
        <sz val="11"/>
        <color rgb="FF000000"/>
        <rFont val="Calibri"/>
        <family val="2"/>
        <scheme val="minor"/>
      </rPr>
      <t>Each Business Unit has a separate folder in the Scope and Specification Workstream file</t>
    </r>
  </si>
  <si>
    <r>
      <t>·</t>
    </r>
    <r>
      <rPr>
        <sz val="7"/>
        <color rgb="FF000000"/>
        <rFont val="Times New Roman"/>
        <family val="1"/>
      </rPr>
      <t xml:space="preserve">         </t>
    </r>
    <r>
      <rPr>
        <sz val="11"/>
        <color rgb="FF000000"/>
        <rFont val="Calibri"/>
        <family val="2"/>
        <scheme val="minor"/>
      </rPr>
      <t>Create a folder in Business Unit folder for each property in your estate including the URN and site name.  E.g. DFT001 Great Minster House</t>
    </r>
  </si>
  <si>
    <r>
      <t>·</t>
    </r>
    <r>
      <rPr>
        <sz val="7"/>
        <color rgb="FF000000"/>
        <rFont val="Times New Roman"/>
        <family val="1"/>
      </rPr>
      <t>         S</t>
    </r>
    <r>
      <rPr>
        <sz val="11"/>
        <color rgb="FF000000"/>
        <rFont val="Calibri"/>
        <family val="2"/>
        <scheme val="minor"/>
      </rPr>
      <t>ave a copy of this template into that folder to populate</t>
    </r>
  </si>
  <si>
    <r>
      <t>·</t>
    </r>
    <r>
      <rPr>
        <sz val="7"/>
        <color rgb="FF000000"/>
        <rFont val="Times New Roman"/>
        <family val="1"/>
      </rPr>
      <t xml:space="preserve">         </t>
    </r>
    <r>
      <rPr>
        <sz val="11"/>
        <color rgb="FF000000"/>
        <rFont val="Calibri"/>
        <family val="2"/>
        <scheme val="minor"/>
      </rPr>
      <t>Each copy should be saved using the following format: URN, site name, Version number and date created in the format ddmmmyy.  E.g. DFT001 Great Minster House V1.0 18Aug22</t>
    </r>
  </si>
  <si>
    <t>Version number</t>
  </si>
  <si>
    <t>Service area amended</t>
  </si>
  <si>
    <t>Detail what has been amended from previous revsion</t>
  </si>
  <si>
    <t>Date</t>
  </si>
  <si>
    <t>Amended by:</t>
  </si>
  <si>
    <t>General Property Details</t>
  </si>
  <si>
    <t>Any additional detail not covered below:</t>
  </si>
  <si>
    <t>Business Unit</t>
  </si>
  <si>
    <t>URN</t>
  </si>
  <si>
    <t>Affected Property Name</t>
  </si>
  <si>
    <t>Location</t>
  </si>
  <si>
    <t>Address</t>
  </si>
  <si>
    <t>Post Code</t>
  </si>
  <si>
    <t>Remote Location</t>
  </si>
  <si>
    <t>Coordinates: Latitude</t>
  </si>
  <si>
    <t>Coordinates: Longitude</t>
  </si>
  <si>
    <t>Red line Boundary Plan on file</t>
  </si>
  <si>
    <t>Property Information</t>
  </si>
  <si>
    <t>Year of construction</t>
  </si>
  <si>
    <t>Type of construction</t>
  </si>
  <si>
    <t>Operational Status</t>
  </si>
  <si>
    <t>Designated as a critical building (www.cpni.gov.uk)</t>
  </si>
  <si>
    <t>Property Type</t>
  </si>
  <si>
    <t>Tenure Type</t>
  </si>
  <si>
    <t>Is the property managed by an agent</t>
  </si>
  <si>
    <t>Listed building Status</t>
  </si>
  <si>
    <t>Building constraints</t>
  </si>
  <si>
    <t>Validated Gross Internal Area (GIA) m2</t>
  </si>
  <si>
    <t>Validated Net Internal Area (NIA) m2</t>
  </si>
  <si>
    <t>Number of floors occupied</t>
  </si>
  <si>
    <t>Are there any areas which will require access equipment to reach (e.g. high ceilings)?</t>
  </si>
  <si>
    <t>Y</t>
  </si>
  <si>
    <t>Number of staff parking spaces</t>
  </si>
  <si>
    <t>Number of customer / visitor parking spaces</t>
  </si>
  <si>
    <t>Contractor parking available (Y/N)</t>
  </si>
  <si>
    <t>Permit to work required</t>
  </si>
  <si>
    <t>Minimum Security Clearance Required</t>
  </si>
  <si>
    <t>Building Information Modelling (BIM) required</t>
  </si>
  <si>
    <t>Where are first aid kits located</t>
  </si>
  <si>
    <t>Does the site have a first aid room</t>
  </si>
  <si>
    <t>Does the property have kitchens/ kitchenettes</t>
  </si>
  <si>
    <t>Does the property have toilets</t>
  </si>
  <si>
    <t>Is feminine hygiene product vending required</t>
  </si>
  <si>
    <t>Known Building Issues</t>
  </si>
  <si>
    <t>Fragile Roofs</t>
  </si>
  <si>
    <t>Reinforced Aeriated Autoclave Concrete</t>
  </si>
  <si>
    <t>Restrictions on use of materials or equipment</t>
  </si>
  <si>
    <t>External Hazardous areas</t>
  </si>
  <si>
    <t>Other known issues</t>
  </si>
  <si>
    <t>Emergency Out of Hours contact available</t>
  </si>
  <si>
    <t>Access</t>
  </si>
  <si>
    <t>Number and type of points or ingress / egress</t>
  </si>
  <si>
    <t xml:space="preserve">Site specific access requirements </t>
  </si>
  <si>
    <t>Restrictions to site access</t>
  </si>
  <si>
    <t>Rights of access</t>
  </si>
  <si>
    <t>Building opening days</t>
  </si>
  <si>
    <t>Building opening / closing times</t>
  </si>
  <si>
    <t>Operational Days</t>
  </si>
  <si>
    <t>Operational Hours</t>
  </si>
  <si>
    <t>Means of out of hours access</t>
  </si>
  <si>
    <t>Equality Act Access provisions in place</t>
  </si>
  <si>
    <t>Access / Key safe codes can be provided</t>
  </si>
  <si>
    <t>Building Condition</t>
  </si>
  <si>
    <t>Condition survey available</t>
  </si>
  <si>
    <t>Condition survey Required</t>
  </si>
  <si>
    <t>Health and Safety</t>
  </si>
  <si>
    <t>Is there asbestos present on site?</t>
  </si>
  <si>
    <t>Is there water present on site</t>
  </si>
  <si>
    <t>Is there Electricity present on site</t>
  </si>
  <si>
    <t>Responsibility for Fire Risk Assessment sits with:</t>
  </si>
  <si>
    <t>Is there a fire detection on site</t>
  </si>
  <si>
    <t>Is there a firefighting equipment on site</t>
  </si>
  <si>
    <t>Is there evacuation equipment on site</t>
  </si>
  <si>
    <t>Is there heating equipment on site</t>
  </si>
  <si>
    <t>Is there emergency lighting on site</t>
  </si>
  <si>
    <t>Is there lightening protection installed on site</t>
  </si>
  <si>
    <t>Are there any lifts or lifting equipment on site</t>
  </si>
  <si>
    <t>Is there a ventilation system installed at site</t>
  </si>
  <si>
    <t>Is there a risk of Radon at site</t>
  </si>
  <si>
    <t>Do you require portable appliance testing</t>
  </si>
  <si>
    <t>Do you require provision of all statutory signage</t>
  </si>
  <si>
    <t>Human factors assessments</t>
  </si>
  <si>
    <t>Hard Services</t>
  </si>
  <si>
    <t>Helpdesk Services</t>
  </si>
  <si>
    <t xml:space="preserve">TFM &amp; Hard FM CAFM Requirements </t>
  </si>
  <si>
    <t>Provision for Projects and reactive billable works outside of lump sum</t>
  </si>
  <si>
    <t>Who is responsible for external Fabric Maintenance</t>
  </si>
  <si>
    <t>Who is responsible for internal Fabric Maintenance</t>
  </si>
  <si>
    <t>Who is responsible for repair and maintenance</t>
  </si>
  <si>
    <t>Business unit (this contract)</t>
  </si>
  <si>
    <t>Cleaning and Soft Services</t>
  </si>
  <si>
    <t>Who provides cleaning at site</t>
  </si>
  <si>
    <t>Is Housekeeping required at site</t>
  </si>
  <si>
    <t>Is a Handyman Service required at site</t>
  </si>
  <si>
    <t>Who provides facilities management</t>
  </si>
  <si>
    <t>Responsibility for internal window cleaning at site sits with</t>
  </si>
  <si>
    <t>Responsibility for external window cleaning at site sits with</t>
  </si>
  <si>
    <t>Glazing survey required</t>
  </si>
  <si>
    <t>Responsibility for pest control at site</t>
  </si>
  <si>
    <t>Are portable units required</t>
  </si>
  <si>
    <t>General Grounds Maintenance</t>
  </si>
  <si>
    <t>Site has grounds</t>
  </si>
  <si>
    <t>Drainage system maintenance required</t>
  </si>
  <si>
    <t>Site has trees</t>
  </si>
  <si>
    <t>Site has water features</t>
  </si>
  <si>
    <t>Security</t>
  </si>
  <si>
    <t>Who is responsible for security on site</t>
  </si>
  <si>
    <t>Catering</t>
  </si>
  <si>
    <t>Is any catering required</t>
  </si>
  <si>
    <t>Environmental services</t>
  </si>
  <si>
    <t>Waste collection required</t>
  </si>
  <si>
    <t>Energy Bureau required</t>
  </si>
  <si>
    <t>Energy Performance certification</t>
  </si>
  <si>
    <t>Meter Readings</t>
  </si>
  <si>
    <t>Environmental surveys</t>
  </si>
  <si>
    <t>Building Information</t>
  </si>
  <si>
    <t>Grounds</t>
  </si>
  <si>
    <t>Environmental</t>
  </si>
  <si>
    <t>Describe remote location</t>
  </si>
  <si>
    <t>Detail any vacant property management in place</t>
  </si>
  <si>
    <t>Describe why building is designated as critical</t>
  </si>
  <si>
    <t>Detail</t>
  </si>
  <si>
    <t>If no, Specify where contractors should park</t>
  </si>
  <si>
    <t>Applications made to</t>
  </si>
  <si>
    <t>Detail any enhanced security clearance for specified services / areas</t>
  </si>
  <si>
    <t>Number, access arrangements etc.</t>
  </si>
  <si>
    <t>Does the property have kitchens</t>
  </si>
  <si>
    <t>How many kitchens are there</t>
  </si>
  <si>
    <t>Locations</t>
  </si>
  <si>
    <t>Are toilets unisex</t>
  </si>
  <si>
    <t>How many unisex toilets are there</t>
  </si>
  <si>
    <t>How many male toilet blocks</t>
  </si>
  <si>
    <t>How many male toilet stalls</t>
  </si>
  <si>
    <t>How many urinals</t>
  </si>
  <si>
    <t>Are urinals waterless</t>
  </si>
  <si>
    <t>How many female toilet blocks</t>
  </si>
  <si>
    <t>How many female toilet stalls</t>
  </si>
  <si>
    <t>How many accessible toilets are there</t>
  </si>
  <si>
    <t>Provide details and locations</t>
  </si>
  <si>
    <t>Provide details and locations (https://www.hse.gov.uk/comah/sragtech/techmeasareaclas.htm)</t>
  </si>
  <si>
    <t>Details</t>
  </si>
  <si>
    <t>Emergency Out of Hours contract available</t>
  </si>
  <si>
    <t>Access instructions</t>
  </si>
  <si>
    <t>Date conducted</t>
  </si>
  <si>
    <t>Frequency</t>
  </si>
  <si>
    <t>Specify what should be covered, e.g. M&amp;E, Building Fabric, specific areas, whole property</t>
  </si>
  <si>
    <t>Standard required (RICS or CIBSE etc.)</t>
  </si>
  <si>
    <t>Responsibility for Asbestos sits with</t>
  </si>
  <si>
    <t>Report available?</t>
  </si>
  <si>
    <t>Date last conducted</t>
  </si>
  <si>
    <t>Frequency of assessment</t>
  </si>
  <si>
    <t>Asbestos register required</t>
  </si>
  <si>
    <t>Responsibility for water sits with</t>
  </si>
  <si>
    <t>Water risk assessment available?</t>
  </si>
  <si>
    <t>Monthly Temperature checks</t>
  </si>
  <si>
    <t>Tank inspections</t>
  </si>
  <si>
    <t>Number and location</t>
  </si>
  <si>
    <t>Descaling / disinfection / chlorination</t>
  </si>
  <si>
    <t>Cooling towers</t>
  </si>
  <si>
    <t>Thermostatic Mixer Valve maintenance (TMV)</t>
  </si>
  <si>
    <t>Shower flushing</t>
  </si>
  <si>
    <t>Sampling required</t>
  </si>
  <si>
    <t>Responsibility for the electrical installation sits with:</t>
  </si>
  <si>
    <t>Report available</t>
  </si>
  <si>
    <t>Do you require Portable appliance testing</t>
  </si>
  <si>
    <t>Class of equipment</t>
  </si>
  <si>
    <t>Number of items</t>
  </si>
  <si>
    <t>Out of hours only</t>
  </si>
  <si>
    <t>Microwave emissions testing required</t>
  </si>
  <si>
    <t>Responsibility for the fire detection sits with:</t>
  </si>
  <si>
    <t>System type</t>
  </si>
  <si>
    <t>Linked to other systems</t>
  </si>
  <si>
    <t>Date maintenance last conducted</t>
  </si>
  <si>
    <t>Required maintenance frequency</t>
  </si>
  <si>
    <t>Testing required</t>
  </si>
  <si>
    <t>Alarm panel location</t>
  </si>
  <si>
    <t>Remote monitoring required</t>
  </si>
  <si>
    <t>Responsibility for the firefighting equipment sits with:</t>
  </si>
  <si>
    <t>Extinguisher maintenance required</t>
  </si>
  <si>
    <t>Date Maintenance last conducted</t>
  </si>
  <si>
    <t>Number and type of extinguishers</t>
  </si>
  <si>
    <t>Number and location of fire blankets</t>
  </si>
  <si>
    <t>Sprinkler system maintenance</t>
  </si>
  <si>
    <t>Pressure / leak testing</t>
  </si>
  <si>
    <t>Gas suppressions system maintenance</t>
  </si>
  <si>
    <t>Gas suppressions system location</t>
  </si>
  <si>
    <t>Wet / dry risers</t>
  </si>
  <si>
    <t>Numbers and locations</t>
  </si>
  <si>
    <t>Responsibility for the evacuation equipment sits with:</t>
  </si>
  <si>
    <t>Type</t>
  </si>
  <si>
    <t>Responsibility for the heating equipment sits with:</t>
  </si>
  <si>
    <t>Annual safety checks required</t>
  </si>
  <si>
    <t>Expansion vessel maintenance</t>
  </si>
  <si>
    <t>Location and capacity</t>
  </si>
  <si>
    <t>Pre-winter Health check required</t>
  </si>
  <si>
    <t>Responsibility for the emergency lighting sits with:</t>
  </si>
  <si>
    <t>Monthly testing and maintenance</t>
  </si>
  <si>
    <t>Annual Testing  and maintenance</t>
  </si>
  <si>
    <t>Responsibility for the lightening protection sits with:</t>
  </si>
  <si>
    <t>Date of last report</t>
  </si>
  <si>
    <t>Passenger lifts</t>
  </si>
  <si>
    <t>Responsibility for maintenance and LOLER inspections sits with:</t>
  </si>
  <si>
    <t>Maintenance Level</t>
  </si>
  <si>
    <t>Goods lifts</t>
  </si>
  <si>
    <t>Vehicle lifts</t>
  </si>
  <si>
    <t>Fireman's lifts</t>
  </si>
  <si>
    <t>Wheelchair lifts</t>
  </si>
  <si>
    <t>Other (provide detail)</t>
  </si>
  <si>
    <t>Critical spares kept on site</t>
  </si>
  <si>
    <t>Detail spare parts that should be kept on site</t>
  </si>
  <si>
    <t>Alarm/ call monitoring</t>
  </si>
  <si>
    <t>Site has air conditioning</t>
  </si>
  <si>
    <t>Location of F gas register</t>
  </si>
  <si>
    <t>Who is responsible for maintenance</t>
  </si>
  <si>
    <t>Maintenance level</t>
  </si>
  <si>
    <t>leak testing</t>
  </si>
  <si>
    <t>TM44 required</t>
  </si>
  <si>
    <t>Site has a Local Exhaust Ventilation (LEV) system</t>
  </si>
  <si>
    <t>Responsibility for Radon monitoring sits with:</t>
  </si>
  <si>
    <t>Last conducted</t>
  </si>
  <si>
    <t>Maximum radon potential (https://www.ukradon.org/information/ukmaps)</t>
  </si>
  <si>
    <t>Number of rooms where people work frequently (to determine number of detectors)</t>
  </si>
  <si>
    <t>Noise surveys</t>
  </si>
  <si>
    <t>Lighting</t>
  </si>
  <si>
    <t>Thermal Comfort</t>
  </si>
  <si>
    <t>Vibration</t>
  </si>
  <si>
    <t>Mechanical and Electrical systems</t>
  </si>
  <si>
    <t>Is any remote monitoring in place</t>
  </si>
  <si>
    <t>Property has a building management system</t>
  </si>
  <si>
    <t>Who is responsible for repairs</t>
  </si>
  <si>
    <t>Do you require remote monitoring</t>
  </si>
  <si>
    <t>Property has an uninterrupted power supply</t>
  </si>
  <si>
    <t>Property has a standby generator</t>
  </si>
  <si>
    <t>Where is fuel stored</t>
  </si>
  <si>
    <t>What fuel is used</t>
  </si>
  <si>
    <t>Is fuel replenishment required</t>
  </si>
  <si>
    <t>Is fuel polished</t>
  </si>
  <si>
    <t>Are tank inspections required</t>
  </si>
  <si>
    <t>Property has Solar Panels</t>
  </si>
  <si>
    <t>Property has Wind Turbines</t>
  </si>
  <si>
    <t>Site has External lighting</t>
  </si>
  <si>
    <t>Property has window opening restrictors</t>
  </si>
  <si>
    <t>Type and Location</t>
  </si>
  <si>
    <t>Does site have High Voltage (HV) and / or switchgear</t>
  </si>
  <si>
    <t>Access systems</t>
  </si>
  <si>
    <t>Property has access control</t>
  </si>
  <si>
    <t>Details of system</t>
  </si>
  <si>
    <t>Is access control systems/ pass producing required</t>
  </si>
  <si>
    <t>Is equipment on site</t>
  </si>
  <si>
    <t>Is pass production equipment maintenance required</t>
  </si>
  <si>
    <t>Site has mechanical or electrical doors, gates or barriers</t>
  </si>
  <si>
    <t>Site has roller shutters</t>
  </si>
  <si>
    <t>Number, location and type (e.g. windows or doors</t>
  </si>
  <si>
    <t>Date last maintained</t>
  </si>
  <si>
    <t>Site has automatic garage doors</t>
  </si>
  <si>
    <t>Site has automatic doors</t>
  </si>
  <si>
    <t>Site has motorised internal entrance gates</t>
  </si>
  <si>
    <t>Site has automated barriers</t>
  </si>
  <si>
    <t>Site has automated external gates</t>
  </si>
  <si>
    <t>Safety and welfare systems</t>
  </si>
  <si>
    <t>Site has a gas detection system</t>
  </si>
  <si>
    <t>Testing</t>
  </si>
  <si>
    <t>Site has a bespoke CO2 monitoring system (separate from the BMS system)</t>
  </si>
  <si>
    <t>Site has a man-safe system</t>
  </si>
  <si>
    <t>Site has permanently installed ladders</t>
  </si>
  <si>
    <t>Site has permanently Installed anchorage/fall arrest/roof safety systems</t>
  </si>
  <si>
    <t>Site has permanently Installed access equipment systems</t>
  </si>
  <si>
    <t>Numbers, location and type</t>
  </si>
  <si>
    <t>Site has plumbed hot or cold water drinks dispensers</t>
  </si>
  <si>
    <t>Number, type and location</t>
  </si>
  <si>
    <t>Site has under-sink water heater</t>
  </si>
  <si>
    <t>Site has over-counter water boilers</t>
  </si>
  <si>
    <t>Site has panic alarms</t>
  </si>
  <si>
    <t>Is monitoring / call service required</t>
  </si>
  <si>
    <t>Site has assistance alarms</t>
  </si>
  <si>
    <t>Security systems</t>
  </si>
  <si>
    <t>Site has closed circuit television (CCTV)</t>
  </si>
  <si>
    <t>Is monitoring required</t>
  </si>
  <si>
    <t>Storage method</t>
  </si>
  <si>
    <t>Site has an Intruder alarm</t>
  </si>
  <si>
    <t>Office and catering equipment</t>
  </si>
  <si>
    <t>Site has audio visual equipment</t>
  </si>
  <si>
    <t>Site has office machinery</t>
  </si>
  <si>
    <t>Site has a voice announcement system</t>
  </si>
  <si>
    <t>Site has roller racking</t>
  </si>
  <si>
    <t>Electric or manual</t>
  </si>
  <si>
    <t>Site has catering equipment</t>
  </si>
  <si>
    <t>Site has television cabling</t>
  </si>
  <si>
    <t>Locksmith Services required</t>
  </si>
  <si>
    <t>Specialist maintenance Services required</t>
  </si>
  <si>
    <t>Tasks to be included</t>
  </si>
  <si>
    <t>In hours routine cleaning required</t>
  </si>
  <si>
    <t>Out of hours routine cleaning required</t>
  </si>
  <si>
    <t>How cleaner is to access site</t>
  </si>
  <si>
    <t>Reactive cleaning (in normal operational hours)</t>
  </si>
  <si>
    <t>Reactive cleaning (outside cleaning operational hours)</t>
  </si>
  <si>
    <t>Hazardous Cleaning</t>
  </si>
  <si>
    <t>Infection control/ Touchpoint cleaning</t>
  </si>
  <si>
    <t>Prestige level cleaning areas</t>
  </si>
  <si>
    <t>Frequency and type</t>
  </si>
  <si>
    <t>Deep (periodic) cleaning</t>
  </si>
  <si>
    <t>Areas excluded / included</t>
  </si>
  <si>
    <t>Type (upholstery, carpets)</t>
  </si>
  <si>
    <t>Cleaning of waste storage areas</t>
  </si>
  <si>
    <t>Environmental cleaning</t>
  </si>
  <si>
    <t>Test hall cleaning</t>
  </si>
  <si>
    <t>Test Hall Safety requirements</t>
  </si>
  <si>
    <t>Access requirements</t>
  </si>
  <si>
    <t>IT equipment cleaning</t>
  </si>
  <si>
    <t>Specialist cleaning</t>
  </si>
  <si>
    <t>Cleaning of curtains and window blinds</t>
  </si>
  <si>
    <t>Detail locations, numbers and sizes</t>
  </si>
  <si>
    <t>Medical and clinical cleaning</t>
  </si>
  <si>
    <t>Linen and laundry Services</t>
  </si>
  <si>
    <t>Hotel Services</t>
  </si>
  <si>
    <t>Sport / Leisure facilities cleaning</t>
  </si>
  <si>
    <t>Additional cleaning materials required</t>
  </si>
  <si>
    <t>Location of storage for cleaning materials</t>
  </si>
  <si>
    <t>Barrier mats</t>
  </si>
  <si>
    <t>Number, size and location</t>
  </si>
  <si>
    <t>Electronic hand sanitiser maintenance / servicing</t>
  </si>
  <si>
    <t>Electronic air fresheners</t>
  </si>
  <si>
    <t>Number of windows</t>
  </si>
  <si>
    <t>Size of Windows</t>
  </si>
  <si>
    <t>Is any access equipment needed to clean high windows</t>
  </si>
  <si>
    <t>Does cleaning need to be conducted out of hours</t>
  </si>
  <si>
    <t>Do any windows have sun-film</t>
  </si>
  <si>
    <t>Do pathways or roads require closure in order to erect scaffolding</t>
  </si>
  <si>
    <t>Concierge Services</t>
  </si>
  <si>
    <t>Reception services</t>
  </si>
  <si>
    <t>Hours of operation</t>
  </si>
  <si>
    <t>Pass and access management</t>
  </si>
  <si>
    <t>Visitor Management</t>
  </si>
  <si>
    <t>In hours taxi Booking Service</t>
  </si>
  <si>
    <t>Out of hours taxi booking service</t>
  </si>
  <si>
    <t>Meeting room booking service</t>
  </si>
  <si>
    <t>Room names, maximum occupancy, etc.</t>
  </si>
  <si>
    <t>Car park management</t>
  </si>
  <si>
    <t>Switchboard services</t>
  </si>
  <si>
    <t>Mail Services</t>
  </si>
  <si>
    <t>Internal messenger Service</t>
  </si>
  <si>
    <t>Courier booking and distribution services</t>
  </si>
  <si>
    <t>Move and space management (internal moves)</t>
  </si>
  <si>
    <t>Porterage</t>
  </si>
  <si>
    <t>Stores and Goods Management Services</t>
  </si>
  <si>
    <t>Hours or operation</t>
  </si>
  <si>
    <t>Type of vehicle</t>
  </si>
  <si>
    <t>Training level required</t>
  </si>
  <si>
    <t>Additional certification required (e.g. first aid, security)</t>
  </si>
  <si>
    <t>Details of service provision</t>
  </si>
  <si>
    <t>First Aid and Medical Services</t>
  </si>
  <si>
    <t>Number of trained first aiders and qualification levels required</t>
  </si>
  <si>
    <t>First Aid supply and management</t>
  </si>
  <si>
    <t>Fire warden services</t>
  </si>
  <si>
    <t>On site archiving</t>
  </si>
  <si>
    <t>Reprographics</t>
  </si>
  <si>
    <t>Furniture Management</t>
  </si>
  <si>
    <t>Sport / Leisure facilities management</t>
  </si>
  <si>
    <t>Stationary Services</t>
  </si>
  <si>
    <t>Supply, management or both</t>
  </si>
  <si>
    <t>Cable management</t>
  </si>
  <si>
    <t>Flag Flying Services</t>
  </si>
  <si>
    <t>Clock battery changing and daylight savings adjusting</t>
  </si>
  <si>
    <t>Journal, Magazine and Newspaper Supply</t>
  </si>
  <si>
    <t>Internal planting</t>
  </si>
  <si>
    <t>living / artificial / other</t>
  </si>
  <si>
    <t>Cut flowers</t>
  </si>
  <si>
    <t>Seasonal decorations</t>
  </si>
  <si>
    <t>Details of type, frequency, festivals</t>
  </si>
  <si>
    <t>Housing and residential accommodation management</t>
  </si>
  <si>
    <t>Hairdressing Services</t>
  </si>
  <si>
    <t>Footwear cobbling services</t>
  </si>
  <si>
    <t>Provision of chaplaincy support Services</t>
  </si>
  <si>
    <t>Janitor Services (Education)</t>
  </si>
  <si>
    <t>Specialist Health FM Services</t>
  </si>
  <si>
    <t>Childcare facility</t>
  </si>
  <si>
    <t>Staff required</t>
  </si>
  <si>
    <t>Training required</t>
  </si>
  <si>
    <t>Frequency of surveys</t>
  </si>
  <si>
    <t>Any restrictions on methods used</t>
  </si>
  <si>
    <t>Known pests</t>
  </si>
  <si>
    <t>Portaloo hire</t>
  </si>
  <si>
    <t>Number</t>
  </si>
  <si>
    <t>Placement</t>
  </si>
  <si>
    <t>Cleaning required</t>
  </si>
  <si>
    <t>Portacabin hire</t>
  </si>
  <si>
    <t>Size</t>
  </si>
  <si>
    <t>Must have's (e.g. toilet, office, waiting area etc.)</t>
  </si>
  <si>
    <t>Welfare unit hire</t>
  </si>
  <si>
    <t>Water Bowser hire</t>
  </si>
  <si>
    <t>Capacity in litres</t>
  </si>
  <si>
    <t>What connected to</t>
  </si>
  <si>
    <t>Responsibility for Grounds sits with</t>
  </si>
  <si>
    <t>Hard Landscaping required</t>
  </si>
  <si>
    <t>Leaf clearance</t>
  </si>
  <si>
    <t>Moss / lichen control (excluding MMA's)</t>
  </si>
  <si>
    <t>Street Furniture</t>
  </si>
  <si>
    <t>External signage</t>
  </si>
  <si>
    <t>Helicopter landing pad structural maintenance</t>
  </si>
  <si>
    <t>lighting maintenance</t>
  </si>
  <si>
    <t>Landing pad painting</t>
  </si>
  <si>
    <t>Site has Smoking / Vaping or shelters</t>
  </si>
  <si>
    <t>Do these require cleaning</t>
  </si>
  <si>
    <t>Snow and ice clearance required</t>
  </si>
  <si>
    <t>Reactive clearance</t>
  </si>
  <si>
    <t>Trigger</t>
  </si>
  <si>
    <t>Planned clearance</t>
  </si>
  <si>
    <t>Site has a manoeuvring area</t>
  </si>
  <si>
    <t>Manoeuvring area maintenance required</t>
  </si>
  <si>
    <t>Manoeuvring area inspection programme required</t>
  </si>
  <si>
    <t>Moss clearance required</t>
  </si>
  <si>
    <t>Soft Landscaping required</t>
  </si>
  <si>
    <t>Grassed areas</t>
  </si>
  <si>
    <t>A mixture of paved and grassed areas</t>
  </si>
  <si>
    <t>Bedding / Shrub areas</t>
  </si>
  <si>
    <t>Hedges</t>
  </si>
  <si>
    <t>Detail and specify height requirements</t>
  </si>
  <si>
    <t>History of invasive species on site</t>
  </si>
  <si>
    <t>Number of trees requiring maintenance</t>
  </si>
  <si>
    <t>Tree Preservation Orders</t>
  </si>
  <si>
    <t>Tree survey available</t>
  </si>
  <si>
    <t>Dated</t>
  </si>
  <si>
    <t>Tree survey required</t>
  </si>
  <si>
    <t>Height trees to be maintained at in meters</t>
  </si>
  <si>
    <t>Clarify what is to be maintained: Reservoirs, ponds, river walls, balancing ponds etc.</t>
  </si>
  <si>
    <t>Safety Equipment to be maintained</t>
  </si>
  <si>
    <t>Location and description of safety equipment</t>
  </si>
  <si>
    <t>Drainage system and / or guttering maintenance required</t>
  </si>
  <si>
    <t>Sewage treatment plant on site</t>
  </si>
  <si>
    <t>Sewage treatment plant maintenance</t>
  </si>
  <si>
    <t>Connected to mains drainage</t>
  </si>
  <si>
    <t>Is site prone to flooding</t>
  </si>
  <si>
    <t>Drainage surveys required</t>
  </si>
  <si>
    <t>Drain clearance required</t>
  </si>
  <si>
    <t>Petrol interceptor maintenance</t>
  </si>
  <si>
    <t>Petrol Interceptor emptying</t>
  </si>
  <si>
    <t>Septic tank maintenance</t>
  </si>
  <si>
    <t>Capacity in cubic meters</t>
  </si>
  <si>
    <t>Septic tank alarm maintenance</t>
  </si>
  <si>
    <t>Septic tank emptying</t>
  </si>
  <si>
    <t>Cess pit maintenance</t>
  </si>
  <si>
    <t>Cess pit emptying</t>
  </si>
  <si>
    <t>Is litter picking required</t>
  </si>
  <si>
    <t>Are security personnel required</t>
  </si>
  <si>
    <t>Lock Up / open up service</t>
  </si>
  <si>
    <t>Operational days</t>
  </si>
  <si>
    <t>Control of access - Vehicles</t>
  </si>
  <si>
    <t>Guard house available</t>
  </si>
  <si>
    <t>Welfare facilities provided</t>
  </si>
  <si>
    <t>Static Guarding Service</t>
  </si>
  <si>
    <t>Dog unit</t>
  </si>
  <si>
    <t>First aid trained staff</t>
  </si>
  <si>
    <t>Level of first aid training / number required</t>
  </si>
  <si>
    <t>Fire Warden trained</t>
  </si>
  <si>
    <t>SIA licenced</t>
  </si>
  <si>
    <t>Emergency response</t>
  </si>
  <si>
    <t>Key Holding required</t>
  </si>
  <si>
    <t>How is access obtained in an emergency</t>
  </si>
  <si>
    <t>Patrols</t>
  </si>
  <si>
    <t>Frequency of patrols</t>
  </si>
  <si>
    <t>Detail of reports required</t>
  </si>
  <si>
    <t>Reactive guarding</t>
  </si>
  <si>
    <t>Enhanced security requirements</t>
  </si>
  <si>
    <t>Blended Static Guarding Service</t>
  </si>
  <si>
    <t>Site Access Management</t>
  </si>
  <si>
    <t>Normal days of operation</t>
  </si>
  <si>
    <t>Normal hours or operation</t>
  </si>
  <si>
    <t>Chilled Potable Water (bottled water)</t>
  </si>
  <si>
    <t>Dispenser type</t>
  </si>
  <si>
    <t>Vending Machines</t>
  </si>
  <si>
    <t>Drinks</t>
  </si>
  <si>
    <t>Hot, cold or both</t>
  </si>
  <si>
    <t>Food</t>
  </si>
  <si>
    <t>Confectionary</t>
  </si>
  <si>
    <t>Convenience Store</t>
  </si>
  <si>
    <t>Opening hours</t>
  </si>
  <si>
    <t>Residential (including Custodial) Catering</t>
  </si>
  <si>
    <t>Deli / Coffee Bar</t>
  </si>
  <si>
    <t>Dietary Requirements</t>
  </si>
  <si>
    <t>Events and Functions</t>
  </si>
  <si>
    <t>Full Service Restaurant</t>
  </si>
  <si>
    <t>Hospitality and Meetings</t>
  </si>
  <si>
    <t>Outside Catering</t>
  </si>
  <si>
    <t>Make or supply</t>
  </si>
  <si>
    <t>Facilities available on site</t>
  </si>
  <si>
    <t>Trolley Service</t>
  </si>
  <si>
    <t>Hours of operations</t>
  </si>
  <si>
    <t>Dietary requirements</t>
  </si>
  <si>
    <t>Meeting room services</t>
  </si>
  <si>
    <t>Waste reporting data required</t>
  </si>
  <si>
    <t>On Site / Mobile Classified Waste Shredding Service</t>
  </si>
  <si>
    <t>Off Site / Mobile Classified Waste Shredding Service</t>
  </si>
  <si>
    <t>General waste</t>
  </si>
  <si>
    <t>Volumes</t>
  </si>
  <si>
    <t>Bin store location</t>
  </si>
  <si>
    <t>Recycled waste</t>
  </si>
  <si>
    <t>Plastics</t>
  </si>
  <si>
    <t>Bin Size</t>
  </si>
  <si>
    <t>Collection Frequency</t>
  </si>
  <si>
    <t>Metal</t>
  </si>
  <si>
    <t>Glass</t>
  </si>
  <si>
    <t>Mixed dry recycling</t>
  </si>
  <si>
    <t>Cardboard</t>
  </si>
  <si>
    <t>Paper recycling</t>
  </si>
  <si>
    <t>Compost</t>
  </si>
  <si>
    <t>Recycled waste for re-use</t>
  </si>
  <si>
    <t>Battery collection</t>
  </si>
  <si>
    <t>Hazardous waste</t>
  </si>
  <si>
    <t>Size, number and location of units</t>
  </si>
  <si>
    <t xml:space="preserve">Specialist Waste Destruction Services </t>
  </si>
  <si>
    <t>Weapons disposal</t>
  </si>
  <si>
    <t>Needle disposal</t>
  </si>
  <si>
    <t>Aerosol disposal</t>
  </si>
  <si>
    <t>Other</t>
  </si>
  <si>
    <t>Clinical Waste</t>
  </si>
  <si>
    <t>Number required</t>
  </si>
  <si>
    <t>Size of units</t>
  </si>
  <si>
    <t>Feminine hygiene waste</t>
  </si>
  <si>
    <t>Display Energy Certificate required</t>
  </si>
  <si>
    <t>Date of last certificate</t>
  </si>
  <si>
    <t>Display location</t>
  </si>
  <si>
    <t>Rating</t>
  </si>
  <si>
    <t>Score</t>
  </si>
  <si>
    <t>Certificate number</t>
  </si>
  <si>
    <t>Energy Performance Certificate required</t>
  </si>
  <si>
    <t>Display location (Scotland only)</t>
  </si>
  <si>
    <t>Water meter reading required</t>
  </si>
  <si>
    <t>Location of meter</t>
  </si>
  <si>
    <t>Serial number</t>
  </si>
  <si>
    <t>Electricity meter reading required</t>
  </si>
  <si>
    <t>Gas meter reading required</t>
  </si>
  <si>
    <t>Tab</t>
  </si>
  <si>
    <t>Number compete</t>
  </si>
  <si>
    <t>Percentage complete</t>
  </si>
  <si>
    <t>Building Description</t>
  </si>
  <si>
    <t>H&amp;S</t>
  </si>
  <si>
    <t>Clenaing and Soft Services</t>
  </si>
  <si>
    <t xml:space="preserve"> Environmental</t>
  </si>
  <si>
    <t xml:space="preserve">DfT(c) </t>
  </si>
  <si>
    <t>BPSS</t>
  </si>
  <si>
    <t>Steel</t>
  </si>
  <si>
    <t>Operational</t>
  </si>
  <si>
    <t>Office</t>
  </si>
  <si>
    <t>Freehold</t>
  </si>
  <si>
    <t>Grade I</t>
  </si>
  <si>
    <t>Road surface temperature is below 0 degrees C</t>
  </si>
  <si>
    <t>Enhanced</t>
  </si>
  <si>
    <t>Monthly</t>
  </si>
  <si>
    <t>Class 1 Equipment Only</t>
  </si>
  <si>
    <t>Gas</t>
  </si>
  <si>
    <t>Supply</t>
  </si>
  <si>
    <t>Make</t>
  </si>
  <si>
    <t>Hot</t>
  </si>
  <si>
    <t>Mechanical</t>
  </si>
  <si>
    <t>Hard disk</t>
  </si>
  <si>
    <t>Motorcycle</t>
  </si>
  <si>
    <t>DVSA</t>
  </si>
  <si>
    <t>AC</t>
  </si>
  <si>
    <t>N</t>
  </si>
  <si>
    <t>Concrete</t>
  </si>
  <si>
    <t>Vacant</t>
  </si>
  <si>
    <t>Driving Test Centre (Cars)</t>
  </si>
  <si>
    <t>Leasehold</t>
  </si>
  <si>
    <t>Grade II*</t>
  </si>
  <si>
    <t>Business unit (other contract)</t>
  </si>
  <si>
    <t>Road surface temperature is between +0.5 and 0.0 degrees C</t>
  </si>
  <si>
    <t>Standard</t>
  </si>
  <si>
    <t>Six monthly</t>
  </si>
  <si>
    <t>All Classes</t>
  </si>
  <si>
    <t>LPG</t>
  </si>
  <si>
    <t>Management</t>
  </si>
  <si>
    <t>Cold</t>
  </si>
  <si>
    <t>Electrical</t>
  </si>
  <si>
    <t>SIM Card</t>
  </si>
  <si>
    <t>Bi-monthly</t>
  </si>
  <si>
    <t>BTP</t>
  </si>
  <si>
    <t>CTC</t>
  </si>
  <si>
    <t>See assessment</t>
  </si>
  <si>
    <t>Masonry</t>
  </si>
  <si>
    <t>Multi-Purpose Test Centre (Cars/Motorbikes/HGV)</t>
  </si>
  <si>
    <t>MOTO</t>
  </si>
  <si>
    <t>Grade II</t>
  </si>
  <si>
    <t>Landlord</t>
  </si>
  <si>
    <t>Visual Inspection</t>
  </si>
  <si>
    <t>Annually</t>
  </si>
  <si>
    <t>Oil</t>
  </si>
  <si>
    <t>Both</t>
  </si>
  <si>
    <t>Cloud</t>
  </si>
  <si>
    <t>Quarterly</t>
  </si>
  <si>
    <t>MCA</t>
  </si>
  <si>
    <t>SC</t>
  </si>
  <si>
    <t>Wood</t>
  </si>
  <si>
    <t>Goods Vehicle Testing Station</t>
  </si>
  <si>
    <t>Licence</t>
  </si>
  <si>
    <t>Not Listed</t>
  </si>
  <si>
    <t>Major Occupier</t>
  </si>
  <si>
    <t>Run to Fail</t>
  </si>
  <si>
    <t>Every two years</t>
  </si>
  <si>
    <t>Air source</t>
  </si>
  <si>
    <t>None</t>
  </si>
  <si>
    <t>RAIB</t>
  </si>
  <si>
    <t>eSC</t>
  </si>
  <si>
    <t>Enforcement</t>
  </si>
  <si>
    <t>Every three years</t>
  </si>
  <si>
    <t>Earth source</t>
  </si>
  <si>
    <t>AAIB</t>
  </si>
  <si>
    <t>DV</t>
  </si>
  <si>
    <t>Police Station</t>
  </si>
  <si>
    <t>Every four years</t>
  </si>
  <si>
    <t>See Ventilation</t>
  </si>
  <si>
    <t>GCS</t>
  </si>
  <si>
    <t>eDV</t>
  </si>
  <si>
    <t>Operational Centre</t>
  </si>
  <si>
    <t>Every five years</t>
  </si>
  <si>
    <t>VCA</t>
  </si>
  <si>
    <t>NPPV</t>
  </si>
  <si>
    <t>Depot/Warehouse</t>
  </si>
  <si>
    <t>Every ten years</t>
  </si>
  <si>
    <t>HS2</t>
  </si>
  <si>
    <t>Coastguard site</t>
  </si>
  <si>
    <t>Standard maintenance frequency</t>
  </si>
  <si>
    <t>Radio Site</t>
  </si>
  <si>
    <t>Control rooms</t>
  </si>
  <si>
    <t>Specialised units</t>
  </si>
  <si>
    <t>TFMData2025</t>
  </si>
  <si>
    <t>Work Package C – Social Value</t>
  </si>
  <si>
    <t>C1</t>
  </si>
  <si>
    <t>Social Value</t>
  </si>
  <si>
    <t>Work Package D – Carbon Net Zero</t>
  </si>
  <si>
    <t>D1</t>
  </si>
  <si>
    <t>Work Package E – Maintenance Services</t>
  </si>
  <si>
    <t>E1</t>
  </si>
  <si>
    <t>Mechanical and Electrical Engineering Maintenance (Standard A)</t>
  </si>
  <si>
    <t>Mechanical and Electrical Engineering Maintenance (Standard B)</t>
  </si>
  <si>
    <t>Mechanical and Electrical Engineering Maintenance (Standard C)</t>
  </si>
  <si>
    <t>E2</t>
  </si>
  <si>
    <t>Ventilation and air conditioning systems maintenance (Standard A)</t>
  </si>
  <si>
    <t>Ventilation and air conditioning systems maintenance (Standard B)</t>
  </si>
  <si>
    <t>Ventilation and air conditioning systems maintenance (Standard C)</t>
  </si>
  <si>
    <t>E3</t>
  </si>
  <si>
    <t>Environmental cleaning service (Standard A)</t>
  </si>
  <si>
    <t>Environmental cleaning service (Standard B)</t>
  </si>
  <si>
    <t>Environmental cleaning service (Standard C)</t>
  </si>
  <si>
    <t>E4</t>
  </si>
  <si>
    <t>Fire detection and firefighting systems maintenance (Standard A)</t>
  </si>
  <si>
    <t>Fire detection and firefighting systems maintenance (Standard B)</t>
  </si>
  <si>
    <t>Fire detection and firefighting systems maintenance (Standard C)</t>
  </si>
  <si>
    <t>E5</t>
  </si>
  <si>
    <t>Lifts, hoists and conveyance systems maintenance (Standard A)</t>
  </si>
  <si>
    <t>Lifts, hoists and conveyance systems maintenance (Standard B)</t>
  </si>
  <si>
    <t>Lifts, hoists and conveyance systems maintenance (Standard C)</t>
  </si>
  <si>
    <t>E6</t>
  </si>
  <si>
    <t>Security, access and intruder systems maintenance (Standard A)</t>
  </si>
  <si>
    <t>Security, access and intruder systems maintenance (Standard B)</t>
  </si>
  <si>
    <t>Security, access and intruder systems maintenance (Standard C)</t>
  </si>
  <si>
    <t>E7</t>
  </si>
  <si>
    <t>Internal and external building fabric maintenance (Standard A)</t>
  </si>
  <si>
    <t>Internal and external building fabric maintenance (Standard B)</t>
  </si>
  <si>
    <t>Internal and external building fabric maintenance (Standard C)</t>
  </si>
  <si>
    <t>E8</t>
  </si>
  <si>
    <t>Reactive maintenance services</t>
  </si>
  <si>
    <t>E9</t>
  </si>
  <si>
    <t>Planned / Group re-lamping service</t>
  </si>
  <si>
    <t>E10</t>
  </si>
  <si>
    <t>Automated barrier control systems maintenance</t>
  </si>
  <si>
    <t>E11</t>
  </si>
  <si>
    <t>Building Management System (BMS) maintenance (Standard A)</t>
  </si>
  <si>
    <t>Building Management System (BMS) maintenance (Standard B)</t>
  </si>
  <si>
    <t>Building Management System (BMS) maintenance (Standard C)</t>
  </si>
  <si>
    <t>E12</t>
  </si>
  <si>
    <t>Standby power system maintenance (Standard A)</t>
  </si>
  <si>
    <t>Standby power system maintenance (Standard B)</t>
  </si>
  <si>
    <t>Standby power system maintenance (Standard C)</t>
  </si>
  <si>
    <t>Building 1</t>
  </si>
  <si>
    <t>Building Name</t>
  </si>
  <si>
    <t>Building Reference</t>
  </si>
  <si>
    <t>Standard/Non-Standard Building? (see list below)</t>
  </si>
  <si>
    <t>Building Type</t>
  </si>
  <si>
    <t>Security Clearance Level</t>
  </si>
  <si>
    <t>GIA (square meters)</t>
  </si>
  <si>
    <t>External areas (square meters)</t>
  </si>
  <si>
    <t>Parent Department/Organisation</t>
  </si>
  <si>
    <t>On-site management presence required?</t>
  </si>
  <si>
    <t>Building Geographical Location (NUTS Region)</t>
  </si>
  <si>
    <t>Street</t>
  </si>
  <si>
    <t>Town/City</t>
  </si>
  <si>
    <t>Postcode</t>
  </si>
  <si>
    <t>Overview</t>
  </si>
  <si>
    <t>Year Built</t>
  </si>
  <si>
    <t>Construction Type</t>
  </si>
  <si>
    <t>Operational Working Hours</t>
  </si>
  <si>
    <t>Tenure: Freehold/Leasehold</t>
  </si>
  <si>
    <t>Tenure: Landlord (if applicable)</t>
  </si>
  <si>
    <t>Tenure: Length of Lease (if applicable)</t>
  </si>
  <si>
    <t>Property Legal Entity</t>
  </si>
  <si>
    <t>Number of FTE Building Users</t>
  </si>
  <si>
    <t>Number of Building Visitors per annum</t>
  </si>
  <si>
    <t>Site Status</t>
  </si>
  <si>
    <t>Service Specifics</t>
  </si>
  <si>
    <t>Number of Lifts</t>
  </si>
  <si>
    <t>Number of Floors</t>
  </si>
  <si>
    <t>Number of Serviceable Areas</t>
  </si>
  <si>
    <t>Portable Appliances (no of units)</t>
  </si>
  <si>
    <t>Number of utility invoices generated over the past year</t>
  </si>
  <si>
    <t>Value of invoices processed</t>
  </si>
  <si>
    <t>Non-Standard</t>
  </si>
  <si>
    <t>Yes - Non-Std</t>
  </si>
  <si>
    <t>Driver Service</t>
  </si>
  <si>
    <t>Gutter clearance required</t>
  </si>
  <si>
    <t>Net Zero</t>
  </si>
  <si>
    <t>[Building Pack Template V1.0 18Aug22.xlsx]Longlist'</t>
  </si>
  <si>
    <t>Longlist'</t>
  </si>
  <si>
    <t>[Building Pack Template V1.0 18Aug22.xlsx]Health &amp; Safety'</t>
  </si>
  <si>
    <t>Health &amp; Safety'</t>
  </si>
  <si>
    <t>E13</t>
  </si>
  <si>
    <t>High Voltage (HV) and switchgear maintenance (Standard A)</t>
  </si>
  <si>
    <t>High Voltage (HV) and switchgear maintenance (Standard B)</t>
  </si>
  <si>
    <t>High Voltage (HV) and switchgear maintenance (Standard C)</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</si>
  <si>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</si>
  <si>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</si>
  <si>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</si>
  <si>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</si>
  <si>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</si>
  <si>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</si>
  <si>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</si>
  <si>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</si>
  <si>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</si>
  <si>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</si>
  <si>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</si>
  <si>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</si>
  <si>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</si>
  <si>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</si>
  <si>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</si>
  <si>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</si>
  <si>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</si>
  <si>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</si>
  <si>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</si>
  <si>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</si>
  <si>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</si>
  <si>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</si>
  <si>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</si>
  <si>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</si>
  <si>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</si>
  <si>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</si>
  <si>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</si>
  <si>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</si>
  <si>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</si>
  <si>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</si>
  <si>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</si>
  <si>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</si>
  <si>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</si>
  <si>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</si>
  <si>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</si>
  <si>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</si>
  <si>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</si>
  <si>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</si>
  <si>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</si>
  <si>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</si>
  <si>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</si>
  <si>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</si>
  <si>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</si>
  <si>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Work Package G – Landscaping Services</t>
  </si>
  <si>
    <t>G1</t>
  </si>
  <si>
    <t>Hard Landscaping Services</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</si>
  <si>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</si>
  <si>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</si>
  <si>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</si>
  <si>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</si>
  <si>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</si>
  <si>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</si>
  <si>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</si>
  <si>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</si>
  <si>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</si>
  <si>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</si>
  <si>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</si>
  <si>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</si>
  <si>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</si>
  <si>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</si>
  <si>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</si>
  <si>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</si>
  <si>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</si>
  <si>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</si>
  <si>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</si>
  <si>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</si>
  <si>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</si>
  <si>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</si>
  <si>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</si>
  <si>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</si>
  <si>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</si>
  <si>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</si>
  <si>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</si>
  <si>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</si>
  <si>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</si>
  <si>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</si>
  <si>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</si>
  <si>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</si>
  <si>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</si>
  <si>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</si>
  <si>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</si>
  <si>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</si>
  <si>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(Standard A)</t>
  </si>
  <si>
    <t>Routine cleaning (Standard B)</t>
  </si>
  <si>
    <t>Routine cleaning (Standard C)</t>
  </si>
  <si>
    <t>Cleaning Consumables (Routine Cleaning) - Building Occupants</t>
  </si>
  <si>
    <t>Cleaning Consumables (Routine Cleaning) - Building Visitors</t>
  </si>
  <si>
    <t>I2</t>
  </si>
  <si>
    <t>Infection Control / Touchpoint cleaning</t>
  </si>
  <si>
    <t>I3</t>
  </si>
  <si>
    <t>Cleaning of integral barrier mats</t>
  </si>
  <si>
    <t>I4</t>
  </si>
  <si>
    <t>Mobile cleaning Services</t>
  </si>
  <si>
    <t>Cleaning Consumables (Mobile Cleaning) - Building Occupants</t>
  </si>
  <si>
    <t>Cleaning Consumables (Mobile Cleaning) - Building Visitors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</si>
  <si>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</si>
  <si>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</si>
  <si>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</si>
  <si>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</si>
  <si>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</si>
  <si>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</si>
  <si>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</si>
  <si>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</si>
  <si>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</si>
  <si>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</si>
  <si>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</si>
  <si>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</si>
  <si>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</si>
  <si>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t>
  </si>
  <si>
    <t>I12</t>
  </si>
  <si>
    <t>I13</t>
  </si>
  <si>
    <t>I14</t>
  </si>
  <si>
    <t>I15</t>
  </si>
  <si>
    <t>I16</t>
  </si>
  <si>
    <t>Pest control Services</t>
  </si>
  <si>
    <t>I17</t>
  </si>
  <si>
    <t>I18</t>
  </si>
  <si>
    <t>Work Package J – Workplace FM Services</t>
  </si>
  <si>
    <t>J1</t>
  </si>
  <si>
    <t>J2</t>
  </si>
  <si>
    <t>J3</t>
  </si>
  <si>
    <t>J4</t>
  </si>
  <si>
    <t>Repairperson Services</t>
  </si>
  <si>
    <t>J5</t>
  </si>
  <si>
    <t>J6</t>
  </si>
  <si>
    <t>J7</t>
  </si>
  <si>
    <t>Clocks</t>
  </si>
  <si>
    <t>J8</t>
  </si>
  <si>
    <t>Signage</t>
  </si>
  <si>
    <t>J9</t>
  </si>
  <si>
    <t>Archiving (on-site)</t>
  </si>
  <si>
    <t>J10</t>
  </si>
  <si>
    <t>J11</t>
  </si>
  <si>
    <t>Space management</t>
  </si>
  <si>
    <t>J12</t>
  </si>
  <si>
    <t>J13</t>
  </si>
  <si>
    <t>Reprographics Service</t>
  </si>
  <si>
    <t>J14</t>
  </si>
  <si>
    <t>J15</t>
  </si>
  <si>
    <t>Portable washroom solutions</t>
  </si>
  <si>
    <t>J16</t>
  </si>
  <si>
    <t>Additional support Services</t>
  </si>
  <si>
    <t>Work Package K – Visitor Support Services</t>
  </si>
  <si>
    <t>K1</t>
  </si>
  <si>
    <t>Reception Services</t>
  </si>
  <si>
    <t>K2</t>
  </si>
  <si>
    <t>Taxi booking Services</t>
  </si>
  <si>
    <t>K3</t>
  </si>
  <si>
    <t>Car park management and booking services</t>
  </si>
  <si>
    <t>K4</t>
  </si>
  <si>
    <t>Voice announcement system operation</t>
  </si>
  <si>
    <t>K5</t>
  </si>
  <si>
    <t>Work Package L – Security Services</t>
  </si>
  <si>
    <t>L1</t>
  </si>
  <si>
    <t>L2</t>
  </si>
  <si>
    <t>CCTV / alarm monitoring</t>
  </si>
  <si>
    <t>L3</t>
  </si>
  <si>
    <t>Control of access - Staff and Visitors</t>
  </si>
  <si>
    <t>L4</t>
  </si>
  <si>
    <t>L5</t>
  </si>
  <si>
    <t>L6</t>
  </si>
  <si>
    <t>Patrols (fixed or static guarding)</t>
  </si>
  <si>
    <t>L7</t>
  </si>
  <si>
    <t>Management of visitors and passes</t>
  </si>
  <si>
    <t>L8</t>
  </si>
  <si>
    <t>L9</t>
  </si>
  <si>
    <t>Additional security Services</t>
  </si>
  <si>
    <t>L10</t>
  </si>
  <si>
    <t>L11</t>
  </si>
  <si>
    <t>Key holding</t>
  </si>
  <si>
    <t>L12</t>
  </si>
  <si>
    <t>Lock Up / open up of Buyer Premises</t>
  </si>
  <si>
    <t>L13</t>
  </si>
  <si>
    <t>Patrols (mobile via a specific visiting vehicle)</t>
  </si>
  <si>
    <t>L14</t>
  </si>
  <si>
    <t>Remote CCTV / alarm monitoring</t>
  </si>
  <si>
    <t>L15</t>
  </si>
  <si>
    <t>Work Package M – Waste Services</t>
  </si>
  <si>
    <t>M1</t>
  </si>
  <si>
    <t>M2</t>
  </si>
  <si>
    <t>Off Site Classified Waste Shredding Service</t>
  </si>
  <si>
    <t>M3</t>
  </si>
  <si>
    <t>M4</t>
  </si>
  <si>
    <t>Recycled waste and waste for re-use</t>
  </si>
  <si>
    <t>M5</t>
  </si>
  <si>
    <t>M6</t>
  </si>
  <si>
    <t>Specialist Waste Destruction Services</t>
  </si>
  <si>
    <t>M7</t>
  </si>
  <si>
    <t>M8</t>
  </si>
  <si>
    <t>Work Package N – Miscellaneous FM Services</t>
  </si>
  <si>
    <t>N1</t>
  </si>
  <si>
    <t>N2</t>
  </si>
  <si>
    <t>Sports and leisure service</t>
  </si>
  <si>
    <t>N3</t>
  </si>
  <si>
    <t>Transport, Driver and Vehicle Service</t>
  </si>
  <si>
    <t>N4</t>
  </si>
  <si>
    <t>First aid and medical service</t>
  </si>
  <si>
    <t>N5</t>
  </si>
  <si>
    <t>Flag flying service</t>
  </si>
  <si>
    <t>N6</t>
  </si>
  <si>
    <t>Journal, magazine and newspaper supply</t>
  </si>
  <si>
    <t>N7</t>
  </si>
  <si>
    <t>N8</t>
  </si>
  <si>
    <t>Footwear cobbling Services</t>
  </si>
  <si>
    <t>N9</t>
  </si>
  <si>
    <t>N10</t>
  </si>
  <si>
    <t>N11</t>
  </si>
  <si>
    <t>Energy and utilities management bureau Services</t>
  </si>
  <si>
    <t>N12</t>
  </si>
  <si>
    <t>N13</t>
  </si>
  <si>
    <t>Work Package O - Specialist (Defence) FM Services</t>
  </si>
  <si>
    <t>O1</t>
  </si>
  <si>
    <t>End-User Accommodation Services</t>
  </si>
  <si>
    <t>O2</t>
  </si>
  <si>
    <t>Management and Control of Ranges and Training Areas (MCRT) including the Operation of a Bidding &amp; Allocation Management (BAMS) system</t>
  </si>
  <si>
    <t>O3</t>
  </si>
  <si>
    <t>Training Areas and Ranges Operation and Management (TAROM) Services and the provision of a service for Targets deployed overseas</t>
  </si>
  <si>
    <t>O4</t>
  </si>
  <si>
    <t>Rural Estate Maintenance (REM) Services</t>
  </si>
  <si>
    <t>O5</t>
  </si>
  <si>
    <t>Land Management Service (LMS)</t>
  </si>
  <si>
    <t>Work Package P - End User Accommodation Services</t>
  </si>
  <si>
    <t>P1</t>
  </si>
  <si>
    <t>Applications And Allocations Services</t>
  </si>
  <si>
    <t>P2</t>
  </si>
  <si>
    <t>Occupancy Management</t>
  </si>
  <si>
    <t>P3</t>
  </si>
  <si>
    <t>Rental Services</t>
  </si>
  <si>
    <t>P4</t>
  </si>
  <si>
    <t>Emergency Accommodation</t>
  </si>
  <si>
    <t>P5</t>
  </si>
  <si>
    <t>Occupation Management</t>
  </si>
  <si>
    <t>P6</t>
  </si>
  <si>
    <t>Not Used</t>
  </si>
  <si>
    <t>P7</t>
  </si>
  <si>
    <t>Housing Stock Management</t>
  </si>
  <si>
    <t>P8</t>
  </si>
  <si>
    <t>Accommodation Stores Service</t>
  </si>
  <si>
    <t>P9</t>
  </si>
  <si>
    <t>Special Need Or Disability Adaptions</t>
  </si>
  <si>
    <t>P10</t>
  </si>
  <si>
    <t>Third Party Claims</t>
  </si>
  <si>
    <t>P11</t>
  </si>
  <si>
    <t>Customer Service Centre</t>
  </si>
  <si>
    <t>P12</t>
  </si>
  <si>
    <t>Future Accommodation Model (FAM)</t>
  </si>
  <si>
    <t>P13</t>
  </si>
  <si>
    <t>Property Maintenance Support Desk Services</t>
  </si>
  <si>
    <t>P14</t>
  </si>
  <si>
    <t>Accommodation Compliance Services</t>
  </si>
  <si>
    <t>P15</t>
  </si>
  <si>
    <t>Accommodation Maintenance Services</t>
  </si>
  <si>
    <t>Work Package Q – CAFM</t>
  </si>
  <si>
    <t>Q2</t>
  </si>
  <si>
    <t>CAFM - TFM &amp; Hard FM CAFM Requirements</t>
  </si>
  <si>
    <t>Work Package R – Helpdesk Services</t>
  </si>
  <si>
    <t>R1</t>
  </si>
  <si>
    <t>Work Package S – Management of Billable Works</t>
  </si>
  <si>
    <t>S1</t>
  </si>
  <si>
    <t>Management of Billable Works &amp; Projects</t>
  </si>
  <si>
    <t>Site Access Managers - covered under additional support services.</t>
  </si>
  <si>
    <t>Yes - Std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</si>
</sst>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0"/>
      <name val="Calibri"/>
      <family val="2"/>
      <scheme val="minor"/>
    </font>
    <font>
      <b/>
      <sz val="9"/>
      <color theme="1"/>
      <name val="Calibri"/>
      <family val="2"/>
      <scheme val="minor"/>
    </font>
    <font>
      <sz val="10"/>
      <color theme="1"/>
      <name val="Arial"/>
      <family val="2"/>
    </font>
    <font>
      <b/>
      <sz val="9"/>
      <color indexed="81"/>
      <name val="Tahoma"/>
      <family val="2"/>
    </font>
    <font>
      <sz val="9"/>
      <color indexed="81"/>
      <name val="Tahoma"/>
      <family val="2"/>
    </font>
    <font>
      <sz val="12"/>
      <color theme="1"/>
      <name val="Calibri"/>
      <family val="2"/>
      <scheme val="minor"/>
    </font>
    <font>
      <sz val="11"/>
      <color theme="1"/>
      <name val="Courier New"/>
      <family val="3"/>
    </font>
    <font>
      <sz val="11"/>
      <name val="Calibri"/>
      <family val="2"/>
      <scheme val="minor"/>
    </font>
    <font>
      <b/>
      <sz val="12"/>
      <color theme="0"/>
      <name val="Calibri"/>
      <family val="2"/>
      <scheme val="minor"/>
    </font>
    <font>
      <sz val="12"/>
      <name val="Calibri"/>
      <family val="2"/>
      <scheme val="minor"/>
    </font>
    <font>
      <sz val="12"/>
      <color theme="0"/>
      <name val="Calibri"/>
      <family val="2"/>
      <scheme val="minor"/>
    </font>
    <font>
      <sz val="12"/>
      <name val="Calibri"/>
      <family val="2"/>
    </font>
    <font>
      <sz val="11"/>
      <name val="Calibri"/>
      <family val="2"/>
    </font>
    <font>
      <sz val="12"/>
      <color theme="1"/>
      <name val="Calibri"/>
      <family val="2"/>
    </font>
    <font>
      <sz val="11"/>
      <color theme="1"/>
      <name val="Calibri"/>
      <family val="2"/>
    </font>
    <font>
      <b/>
      <sz val="12"/>
      <color theme="0"/>
      <name val="Calibri"/>
      <family val="2"/>
    </font>
    <font>
      <sz val="12"/>
      <color rgb="FFFF0000"/>
      <name val="Calibri"/>
      <family val="2"/>
    </font>
    <font>
      <b/>
      <sz val="12"/>
      <name val="Calibri"/>
      <family val="2"/>
    </font>
    <font>
      <b/>
      <sz val="12"/>
      <name val="Calibri"/>
      <family val="2"/>
      <scheme val="minor"/>
    </font>
    <font>
      <b/>
      <sz val="11"/>
      <color theme="1"/>
      <name val="Calibri"/>
      <family val="2"/>
      <scheme val="minor"/>
    </font>
    <font>
      <sz val="11"/>
      <color rgb="FF000000"/>
      <name val="Symbol"/>
      <family val="1"/>
      <charset val="2"/>
    </font>
    <font>
      <sz val="7"/>
      <color rgb="FF000000"/>
      <name val="Times New Roman"/>
      <family val="1"/>
    </font>
    <font>
      <sz val="11"/>
      <color rgb="FF000000"/>
      <name val="Calibri"/>
      <family val="2"/>
      <scheme val="minor"/>
    </font>
    <font>
      <sz val="8"/>
      <color theme="1"/>
      <name val="Arial"/>
      <family val="2"/>
    </font>
    <font>
      <sz val="8"/>
      <color rgb="FF000000"/>
      <name val="Arial"/>
      <family val="2"/>
    </font>
    <font>
      <sz val="8"/>
      <name val="Arial"/>
      <family val="2"/>
    </font>
    <font>
      <strike/>
      <sz val="8"/>
      <color theme="1"/>
      <name val="Arial"/>
      <family val="2"/>
    </font>
  </fonts>
  <fills count="19">
    <fill>
      <patternFill patternType="none"/>
    </fill>
    <fill>
      <patternFill patternType="gray125"/>
    </fill>
    <fill>
      <patternFill patternType="solid">
        <fgColor theme="4" tint="-0.499984740745262"/>
        <bgColor indexed="64"/>
      </patternFill>
    </fill>
    <fill>
      <patternFill patternType="solid">
        <fgColor rgb="FFFFFFFF"/>
        <bgColor indexed="64"/>
      </patternFill>
    </fill>
    <fill>
      <patternFill patternType="solid">
        <fgColor rgb="FFFFFF00"/>
        <bgColor indexed="64"/>
      </patternFill>
    </fill>
    <fill>
      <patternFill patternType="solid">
        <fgColor theme="8" tint="0.39997558519241921"/>
        <bgColor indexed="64"/>
      </patternFill>
    </fill>
    <fill>
      <patternFill patternType="solid">
        <fgColor rgb="FFFF505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CC99FF"/>
        <bgColor indexed="64"/>
      </patternFill>
    </fill>
    <fill>
      <patternFill patternType="solid">
        <fgColor rgb="FFFFCCCC"/>
        <bgColor indexed="64"/>
      </patternFill>
    </fill>
    <fill>
      <patternFill patternType="solid">
        <fgColor rgb="FF33CC33"/>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s>
  <cellStyleXfs count="2">
    <xf numFmtId="0" fontId="0" fillId="0" borderId="0"/>
    <xf numFmtId="0" fontId="3" fillId="0" borderId="0"/>
  </cellStyleXfs>
  <cellXfs count="226">
    <xf numFmtId="0" fontId="0" fillId="0" borderId="0" xfId="0"/>
    <xf numFmtId="0" fontId="0" fillId="0" borderId="1" xfId="0" applyBorder="1"/>
    <xf numFmtId="0" fontId="6" fillId="0" borderId="0" xfId="0" applyFont="1"/>
    <xf numFmtId="0" fontId="6" fillId="0" borderId="1" xfId="0" applyFont="1" applyBorder="1" applyAlignment="1">
      <alignment horizontal="left" vertical="center" wrapText="1"/>
    </xf>
    <xf numFmtId="0" fontId="6" fillId="0" borderId="0" xfId="0" applyFont="1" applyAlignment="1">
      <alignment horizontal="left" vertical="center" wrapText="1"/>
    </xf>
    <xf numFmtId="0" fontId="6" fillId="0" borderId="1" xfId="0" applyFont="1" applyBorder="1"/>
    <xf numFmtId="0" fontId="6" fillId="0" borderId="1" xfId="0" applyFont="1" applyBorder="1" applyAlignment="1">
      <alignment vertical="center" wrapText="1"/>
    </xf>
    <xf numFmtId="0" fontId="6" fillId="0" borderId="0" xfId="0" applyFont="1" applyAlignment="1">
      <alignment vertical="center" wrapText="1"/>
    </xf>
    <xf numFmtId="0" fontId="6" fillId="0" borderId="1" xfId="1" applyFont="1" applyBorder="1" applyAlignment="1">
      <alignment vertical="center" wrapText="1"/>
    </xf>
    <xf numFmtId="0" fontId="6" fillId="0" borderId="0" xfId="1" applyFont="1" applyAlignment="1">
      <alignment vertical="center" wrapText="1"/>
    </xf>
    <xf numFmtId="0" fontId="0" fillId="3" borderId="0" xfId="0" applyFill="1" applyAlignment="1">
      <alignment vertical="center"/>
    </xf>
    <xf numFmtId="0" fontId="0" fillId="3" borderId="0" xfId="0" applyFill="1" applyAlignment="1">
      <alignment horizontal="left" vertical="center"/>
    </xf>
    <xf numFmtId="0" fontId="7" fillId="3" borderId="0" xfId="0" applyFont="1" applyFill="1" applyAlignment="1">
      <alignment horizontal="left" vertical="center"/>
    </xf>
    <xf numFmtId="0" fontId="0" fillId="0" borderId="0" xfId="0" applyAlignment="1">
      <alignment wrapText="1"/>
    </xf>
    <xf numFmtId="0" fontId="2" fillId="0" borderId="0" xfId="0" applyFont="1" applyAlignment="1">
      <alignment horizontal="center" vertical="center" wrapText="1"/>
    </xf>
    <xf numFmtId="0" fontId="8" fillId="0" borderId="0" xfId="0" applyFont="1" applyAlignment="1">
      <alignment horizontal="left"/>
    </xf>
    <xf numFmtId="0" fontId="9" fillId="0" borderId="0" xfId="0" applyFont="1"/>
    <xf numFmtId="0" fontId="6" fillId="0" borderId="0" xfId="0" applyFont="1" applyAlignment="1">
      <alignment wrapText="1"/>
    </xf>
    <xf numFmtId="0" fontId="0" fillId="0" borderId="1" xfId="0" applyBorder="1" applyAlignment="1">
      <alignment wrapText="1"/>
    </xf>
    <xf numFmtId="0" fontId="10" fillId="0" borderId="0" xfId="0" applyFont="1" applyAlignment="1">
      <alignment horizontal="left"/>
    </xf>
    <xf numFmtId="0" fontId="10" fillId="0" borderId="0" xfId="0" applyFont="1"/>
    <xf numFmtId="0" fontId="10" fillId="0" borderId="0" xfId="0" applyFont="1" applyAlignment="1">
      <alignment horizontal="left" vertical="center" wrapText="1"/>
    </xf>
    <xf numFmtId="0" fontId="10" fillId="0" borderId="0" xfId="0" applyFont="1" applyAlignment="1">
      <alignment horizontal="left" wrapText="1"/>
    </xf>
    <xf numFmtId="0" fontId="8" fillId="0" borderId="0" xfId="0" applyFont="1"/>
    <xf numFmtId="0" fontId="12" fillId="0" borderId="0" xfId="0" applyFont="1" applyAlignment="1">
      <alignment vertical="center" wrapText="1"/>
    </xf>
    <xf numFmtId="0" fontId="12" fillId="0" borderId="0" xfId="0" applyFont="1" applyAlignment="1">
      <alignment horizontal="center" vertical="center" wrapText="1"/>
    </xf>
    <xf numFmtId="0" fontId="13" fillId="0" borderId="0" xfId="0" applyFont="1"/>
    <xf numFmtId="0" fontId="14" fillId="0" borderId="0" xfId="0" applyFont="1" applyAlignment="1">
      <alignment horizontal="left"/>
    </xf>
    <xf numFmtId="0" fontId="15" fillId="0" borderId="0" xfId="0" applyFont="1"/>
    <xf numFmtId="0" fontId="14" fillId="0" borderId="1" xfId="0" applyFont="1" applyBorder="1" applyAlignment="1">
      <alignment horizontal="left"/>
    </xf>
    <xf numFmtId="0" fontId="14" fillId="0" borderId="0" xfId="0" applyFont="1" applyAlignment="1">
      <alignment vertical="center" wrapText="1"/>
    </xf>
    <xf numFmtId="0" fontId="14" fillId="0" borderId="0" xfId="0" applyFont="1" applyAlignment="1">
      <alignment horizontal="center" vertical="center" wrapText="1"/>
    </xf>
    <xf numFmtId="0" fontId="17" fillId="0" borderId="0" xfId="0" applyFont="1" applyAlignment="1">
      <alignment vertical="center" wrapText="1"/>
    </xf>
    <xf numFmtId="0" fontId="14" fillId="0" borderId="0" xfId="0" applyFont="1"/>
    <xf numFmtId="0" fontId="14" fillId="0" borderId="1" xfId="0" applyFont="1" applyBorder="1"/>
    <xf numFmtId="0" fontId="12" fillId="0" borderId="0" xfId="0" applyFont="1"/>
    <xf numFmtId="0" fontId="17" fillId="0" borderId="0" xfId="0" applyFont="1"/>
    <xf numFmtId="0" fontId="12" fillId="0" borderId="0" xfId="0" applyFont="1" applyAlignment="1">
      <alignment horizontal="left"/>
    </xf>
    <xf numFmtId="0" fontId="12" fillId="0" borderId="0" xfId="0" applyFont="1" applyAlignment="1">
      <alignment horizontal="left" vertical="center" wrapText="1"/>
    </xf>
    <xf numFmtId="0" fontId="18" fillId="0" borderId="0" xfId="0" applyFont="1" applyAlignment="1">
      <alignment horizontal="left" vertical="center" wrapText="1"/>
    </xf>
    <xf numFmtId="0" fontId="6" fillId="0" borderId="1" xfId="0" applyFont="1" applyBorder="1" applyAlignment="1">
      <alignment horizontal="left" wrapText="1"/>
    </xf>
    <xf numFmtId="0" fontId="14" fillId="0" borderId="1" xfId="0" applyFont="1" applyBorder="1" applyAlignment="1">
      <alignment wrapText="1"/>
    </xf>
    <xf numFmtId="0" fontId="16" fillId="0" borderId="0" xfId="0" applyFont="1" applyAlignment="1">
      <alignment horizontal="center"/>
    </xf>
    <xf numFmtId="0" fontId="12" fillId="0" borderId="0" xfId="0" applyFont="1" applyAlignment="1">
      <alignment wrapText="1"/>
    </xf>
    <xf numFmtId="0" fontId="12" fillId="0" borderId="0" xfId="0" applyFont="1" applyAlignment="1">
      <alignment horizontal="left" wrapText="1"/>
    </xf>
    <xf numFmtId="0" fontId="9" fillId="0" borderId="0" xfId="0" applyFont="1" applyAlignment="1">
      <alignment horizontal="center"/>
    </xf>
    <xf numFmtId="0" fontId="19" fillId="0" borderId="0" xfId="0" applyFont="1" applyAlignment="1">
      <alignment horizontal="center"/>
    </xf>
    <xf numFmtId="0" fontId="11" fillId="0" borderId="0" xfId="0" applyFont="1" applyAlignment="1">
      <alignment horizontal="left"/>
    </xf>
    <xf numFmtId="0" fontId="0" fillId="0" borderId="0" xfId="0" applyAlignment="1">
      <alignment horizontal="left"/>
    </xf>
    <xf numFmtId="0" fontId="0" fillId="0" borderId="1" xfId="0" applyBorder="1" applyAlignment="1">
      <alignment horizontal="left"/>
    </xf>
    <xf numFmtId="0" fontId="10" fillId="0" borderId="1" xfId="0" applyFont="1" applyBorder="1" applyAlignment="1">
      <alignment horizontal="left"/>
    </xf>
    <xf numFmtId="0" fontId="10" fillId="0" borderId="0" xfId="0" applyFont="1" applyAlignment="1">
      <alignment vertical="center" wrapText="1"/>
    </xf>
    <xf numFmtId="0" fontId="10" fillId="0" borderId="1" xfId="0" applyFont="1" applyBorder="1" applyAlignment="1">
      <alignment vertical="center" wrapText="1"/>
    </xf>
    <xf numFmtId="0" fontId="13" fillId="0" borderId="0" xfId="0" applyFont="1" applyAlignment="1">
      <alignment wrapText="1"/>
    </xf>
    <xf numFmtId="0" fontId="11" fillId="0" borderId="0" xfId="0" applyFont="1" applyAlignment="1">
      <alignment horizontal="center"/>
    </xf>
    <xf numFmtId="0" fontId="10" fillId="0" borderId="0" xfId="0" applyFont="1" applyAlignment="1">
      <alignment horizontal="center" wrapText="1"/>
    </xf>
    <xf numFmtId="0" fontId="10" fillId="0" borderId="1" xfId="0" applyFont="1" applyBorder="1"/>
    <xf numFmtId="0" fontId="10" fillId="0" borderId="1" xfId="0" applyFont="1" applyBorder="1" applyAlignment="1">
      <alignment wrapText="1"/>
    </xf>
    <xf numFmtId="0" fontId="10" fillId="0" borderId="0" xfId="0" applyFont="1" applyAlignment="1">
      <alignment wrapText="1"/>
    </xf>
    <xf numFmtId="0" fontId="10"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left" wrapText="1"/>
    </xf>
    <xf numFmtId="0" fontId="6" fillId="0" borderId="1" xfId="0" applyFont="1" applyBorder="1" applyAlignment="1">
      <alignment wrapText="1"/>
    </xf>
    <xf numFmtId="0" fontId="1" fillId="0" borderId="0" xfId="0" applyFont="1" applyAlignment="1">
      <alignment horizontal="center" wrapText="1"/>
    </xf>
    <xf numFmtId="0" fontId="0" fillId="0" borderId="1" xfId="0" applyBorder="1" applyProtection="1">
      <protection locked="0"/>
    </xf>
    <xf numFmtId="0" fontId="0" fillId="0" borderId="1" xfId="0" applyBorder="1" applyAlignment="1" applyProtection="1">
      <alignment vertical="center" wrapText="1"/>
      <protection locked="0"/>
    </xf>
    <xf numFmtId="0" fontId="0" fillId="0" borderId="0" xfId="0" applyProtection="1">
      <protection locked="0"/>
    </xf>
    <xf numFmtId="0" fontId="6" fillId="0" borderId="1" xfId="0" applyFont="1" applyBorder="1" applyProtection="1">
      <protection locked="0"/>
    </xf>
    <xf numFmtId="0" fontId="6" fillId="0" borderId="0" xfId="0" applyFont="1" applyProtection="1">
      <protection locked="0"/>
    </xf>
    <xf numFmtId="0" fontId="6" fillId="0" borderId="0" xfId="0" applyFont="1" applyAlignment="1" applyProtection="1">
      <alignment wrapText="1"/>
      <protection locked="0"/>
    </xf>
    <xf numFmtId="0" fontId="0" fillId="0" borderId="1" xfId="0" applyBorder="1" applyAlignment="1" applyProtection="1">
      <alignment wrapText="1"/>
      <protection locked="0"/>
    </xf>
    <xf numFmtId="0" fontId="0" fillId="0" borderId="0" xfId="0" applyAlignment="1" applyProtection="1">
      <alignment wrapText="1"/>
      <protection locked="0"/>
    </xf>
    <xf numFmtId="0" fontId="10" fillId="0" borderId="0" xfId="0" applyFont="1" applyProtection="1">
      <protection locked="0"/>
    </xf>
    <xf numFmtId="0" fontId="0" fillId="0" borderId="0" xfId="0" applyAlignment="1" applyProtection="1">
      <alignment horizontal="left"/>
      <protection locked="0"/>
    </xf>
    <xf numFmtId="0" fontId="8" fillId="0" borderId="0" xfId="0" applyFont="1" applyAlignment="1" applyProtection="1">
      <alignment horizontal="left"/>
      <protection locked="0"/>
    </xf>
    <xf numFmtId="0" fontId="8" fillId="0" borderId="0" xfId="0" applyFont="1" applyProtection="1">
      <protection locked="0"/>
    </xf>
    <xf numFmtId="0" fontId="10" fillId="0" borderId="0" xfId="0" applyFont="1" applyAlignment="1" applyProtection="1">
      <alignment horizontal="left"/>
      <protection locked="0"/>
    </xf>
    <xf numFmtId="0" fontId="19" fillId="0" borderId="0" xfId="0" applyFont="1" applyAlignment="1" applyProtection="1">
      <alignment horizontal="center"/>
      <protection locked="0"/>
    </xf>
    <xf numFmtId="0" fontId="10" fillId="0" borderId="1" xfId="0" applyFont="1" applyBorder="1" applyAlignment="1" applyProtection="1">
      <alignment horizontal="left"/>
      <protection locked="0"/>
    </xf>
    <xf numFmtId="0" fontId="12" fillId="0" borderId="0" xfId="0" applyFont="1" applyProtection="1">
      <protection locked="0"/>
    </xf>
    <xf numFmtId="0" fontId="14" fillId="0" borderId="0" xfId="0" applyFont="1" applyAlignment="1">
      <alignment wrapText="1"/>
    </xf>
    <xf numFmtId="0" fontId="14" fillId="0" borderId="1" xfId="0" applyFont="1" applyBorder="1" applyAlignment="1" applyProtection="1">
      <alignment wrapText="1"/>
      <protection locked="0"/>
    </xf>
    <xf numFmtId="0" fontId="14" fillId="0" borderId="0" xfId="0" applyFont="1" applyProtection="1">
      <protection locked="0"/>
    </xf>
    <xf numFmtId="0" fontId="12" fillId="0" borderId="0" xfId="0" applyFont="1" applyAlignment="1" applyProtection="1">
      <alignment vertical="center" wrapText="1"/>
      <protection locked="0"/>
    </xf>
    <xf numFmtId="0" fontId="12" fillId="0" borderId="0" xfId="0" applyFont="1" applyAlignment="1" applyProtection="1">
      <alignment horizontal="left"/>
      <protection locked="0"/>
    </xf>
    <xf numFmtId="0" fontId="12" fillId="0" borderId="0" xfId="0" applyFont="1" applyAlignment="1" applyProtection="1">
      <alignment horizontal="left" vertical="center" wrapText="1"/>
      <protection locked="0"/>
    </xf>
    <xf numFmtId="0" fontId="0" fillId="0" borderId="1" xfId="0" applyBorder="1" applyAlignment="1">
      <alignment horizontal="center" wrapText="1"/>
    </xf>
    <xf numFmtId="0" fontId="0" fillId="5" borderId="1" xfId="0" applyFill="1" applyBorder="1" applyAlignment="1">
      <alignment wrapText="1"/>
    </xf>
    <xf numFmtId="0" fontId="0" fillId="6" borderId="1" xfId="0" applyFill="1" applyBorder="1" applyAlignment="1">
      <alignment wrapText="1"/>
    </xf>
    <xf numFmtId="0" fontId="0" fillId="7" borderId="1" xfId="0" applyFill="1" applyBorder="1" applyAlignment="1">
      <alignment wrapText="1"/>
    </xf>
    <xf numFmtId="0" fontId="0" fillId="4" borderId="1" xfId="0" applyFill="1" applyBorder="1" applyAlignment="1">
      <alignment wrapText="1"/>
    </xf>
    <xf numFmtId="0" fontId="0" fillId="8" borderId="1" xfId="0" applyFill="1" applyBorder="1" applyAlignment="1">
      <alignment wrapText="1"/>
    </xf>
    <xf numFmtId="0" fontId="0" fillId="9" borderId="1" xfId="0" applyFill="1" applyBorder="1" applyAlignment="1">
      <alignment wrapText="1"/>
    </xf>
    <xf numFmtId="0" fontId="0" fillId="10" borderId="1" xfId="0" applyFill="1" applyBorder="1" applyAlignment="1">
      <alignment wrapText="1"/>
    </xf>
    <xf numFmtId="0" fontId="0" fillId="11" borderId="1" xfId="0" applyFill="1" applyBorder="1" applyAlignment="1">
      <alignment horizontal="center" wrapText="1"/>
    </xf>
    <xf numFmtId="0" fontId="10" fillId="0" borderId="0" xfId="0" applyFont="1" applyAlignment="1" applyProtection="1">
      <alignment wrapText="1"/>
      <protection locked="0"/>
    </xf>
    <xf numFmtId="0" fontId="10" fillId="0" borderId="1" xfId="0" applyFont="1" applyBorder="1" applyProtection="1">
      <protection locked="0"/>
    </xf>
    <xf numFmtId="0" fontId="10" fillId="0" borderId="0" xfId="0" applyFont="1" applyAlignment="1" applyProtection="1">
      <alignment horizontal="left" wrapText="1"/>
      <protection locked="0"/>
    </xf>
    <xf numFmtId="0" fontId="6" fillId="12" borderId="14"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6" fillId="12" borderId="16" xfId="0" applyFont="1" applyFill="1" applyBorder="1" applyAlignment="1">
      <alignment horizontal="center" vertical="center" wrapText="1"/>
    </xf>
    <xf numFmtId="0" fontId="6" fillId="0" borderId="6" xfId="0" applyFont="1" applyBorder="1" applyAlignment="1">
      <alignment horizontal="center"/>
    </xf>
    <xf numFmtId="0" fontId="6" fillId="0" borderId="7" xfId="0" applyFont="1" applyBorder="1" applyProtection="1">
      <protection locked="0"/>
    </xf>
    <xf numFmtId="0" fontId="6" fillId="0" borderId="8" xfId="0" applyFont="1" applyBorder="1" applyAlignment="1">
      <alignment horizontal="center"/>
    </xf>
    <xf numFmtId="0" fontId="6" fillId="0" borderId="9" xfId="0" applyFont="1" applyBorder="1" applyProtection="1">
      <protection locked="0"/>
    </xf>
    <xf numFmtId="0" fontId="6" fillId="0" borderId="10" xfId="0" applyFont="1" applyBorder="1" applyProtection="1">
      <protection locked="0"/>
    </xf>
    <xf numFmtId="10" fontId="0" fillId="0" borderId="0" xfId="0" applyNumberFormat="1" applyAlignment="1">
      <alignment wrapText="1"/>
    </xf>
    <xf numFmtId="0" fontId="10" fillId="0" borderId="0" xfId="0" applyFont="1" applyAlignment="1" applyProtection="1">
      <alignment horizontal="center"/>
      <protection locked="0"/>
    </xf>
    <xf numFmtId="0" fontId="12" fillId="0" borderId="0" xfId="0" applyFont="1" applyAlignment="1" applyProtection="1">
      <alignment wrapText="1"/>
      <protection locked="0"/>
    </xf>
    <xf numFmtId="0" fontId="0" fillId="13" borderId="1" xfId="0" applyFill="1" applyBorder="1" applyAlignment="1">
      <alignment wrapText="1"/>
    </xf>
    <xf numFmtId="0" fontId="6" fillId="0" borderId="0" xfId="0" applyFont="1" applyAlignment="1">
      <alignment horizontal="left" wrapText="1"/>
    </xf>
    <xf numFmtId="0" fontId="0" fillId="0" borderId="0" xfId="0" applyAlignment="1">
      <alignment horizontal="left" vertical="center" wrapText="1"/>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8" fillId="0" borderId="1" xfId="0" applyFont="1" applyBorder="1" applyAlignment="1" applyProtection="1">
      <alignment horizontal="left" wrapText="1"/>
      <protection locked="0"/>
    </xf>
    <xf numFmtId="0" fontId="8" fillId="0" borderId="0" xfId="0" applyFont="1" applyAlignment="1">
      <alignment horizontal="left" wrapText="1"/>
    </xf>
    <xf numFmtId="0" fontId="6" fillId="0" borderId="1" xfId="0" applyFont="1" applyBorder="1" applyAlignment="1" applyProtection="1">
      <alignment horizontal="left" wrapText="1"/>
      <protection locked="0"/>
    </xf>
    <xf numFmtId="0" fontId="6" fillId="0" borderId="0" xfId="0" applyFont="1" applyAlignment="1" applyProtection="1">
      <alignment horizontal="left" wrapText="1"/>
      <protection locked="0"/>
    </xf>
    <xf numFmtId="14" fontId="0" fillId="0" borderId="0" xfId="0" applyNumberFormat="1" applyAlignment="1" applyProtection="1">
      <alignment wrapText="1"/>
      <protection locked="0"/>
    </xf>
    <xf numFmtId="14" fontId="10" fillId="0" borderId="0" xfId="0" applyNumberFormat="1" applyFont="1" applyAlignment="1" applyProtection="1">
      <alignment wrapText="1"/>
      <protection locked="0"/>
    </xf>
    <xf numFmtId="0" fontId="19" fillId="0" borderId="0" xfId="0" applyFont="1" applyAlignment="1">
      <alignment horizontal="center" wrapText="1"/>
    </xf>
    <xf numFmtId="0" fontId="10" fillId="0" borderId="1" xfId="0" applyFont="1" applyBorder="1" applyAlignment="1" applyProtection="1">
      <alignment horizontal="left" wrapText="1"/>
      <protection locked="0"/>
    </xf>
    <xf numFmtId="0" fontId="18" fillId="0" borderId="0" xfId="0" applyFont="1" applyAlignment="1">
      <alignment horizontal="center" wrapText="1"/>
    </xf>
    <xf numFmtId="0" fontId="12" fillId="0" borderId="0" xfId="0" applyFont="1" applyAlignment="1">
      <alignment horizontal="center" wrapText="1"/>
    </xf>
    <xf numFmtId="0" fontId="12" fillId="0" borderId="0" xfId="0" applyFont="1" applyAlignment="1" applyProtection="1">
      <alignment horizontal="left" wrapText="1"/>
      <protection locked="0"/>
    </xf>
    <xf numFmtId="0" fontId="15" fillId="0" borderId="0" xfId="0" applyFont="1" applyAlignment="1">
      <alignment wrapText="1"/>
    </xf>
    <xf numFmtId="0" fontId="15" fillId="0" borderId="0" xfId="0" applyFont="1" applyAlignment="1" applyProtection="1">
      <alignment wrapText="1"/>
      <protection locked="0"/>
    </xf>
    <xf numFmtId="0" fontId="21" fillId="0" borderId="0" xfId="0" applyFont="1" applyAlignment="1">
      <alignment horizontal="left" vertical="center" indent="5"/>
    </xf>
    <xf numFmtId="0" fontId="20" fillId="0" borderId="0" xfId="0" applyFont="1"/>
    <xf numFmtId="10" fontId="0" fillId="0" borderId="1" xfId="0" applyNumberFormat="1" applyBorder="1" applyAlignment="1">
      <alignment horizontal="center" wrapText="1"/>
    </xf>
    <xf numFmtId="0" fontId="0" fillId="14" borderId="1" xfId="0" applyFill="1" applyBorder="1" applyAlignment="1">
      <alignment horizontal="center" vertical="center" wrapText="1"/>
    </xf>
    <xf numFmtId="0" fontId="24" fillId="0" borderId="0" xfId="0" applyFont="1"/>
    <xf numFmtId="0" fontId="24" fillId="0" borderId="1" xfId="0" applyFont="1" applyBorder="1" applyAlignment="1">
      <alignment horizontal="center" vertical="center" wrapText="1"/>
    </xf>
    <xf numFmtId="0" fontId="24" fillId="4" borderId="17" xfId="0" applyFont="1" applyFill="1" applyBorder="1" applyAlignment="1">
      <alignment horizontal="left" vertical="center"/>
    </xf>
    <xf numFmtId="0" fontId="24" fillId="13" borderId="17" xfId="0" applyFont="1" applyFill="1" applyBorder="1" applyAlignment="1">
      <alignment horizontal="left" vertical="center"/>
    </xf>
    <xf numFmtId="0" fontId="24" fillId="13" borderId="23" xfId="0" applyFont="1" applyFill="1" applyBorder="1" applyAlignment="1">
      <alignment horizontal="left" vertical="center"/>
    </xf>
    <xf numFmtId="0" fontId="24" fillId="4" borderId="24" xfId="0" applyFont="1" applyFill="1" applyBorder="1" applyAlignment="1">
      <alignment horizontal="left" vertical="center"/>
    </xf>
    <xf numFmtId="0" fontId="24" fillId="4" borderId="17" xfId="0" applyFont="1" applyFill="1" applyBorder="1" applyAlignment="1">
      <alignment vertical="center"/>
    </xf>
    <xf numFmtId="0" fontId="24" fillId="13" borderId="23" xfId="0" applyFont="1" applyFill="1" applyBorder="1" applyAlignment="1">
      <alignment vertical="center"/>
    </xf>
    <xf numFmtId="0" fontId="24" fillId="13" borderId="17" xfId="0" applyFont="1" applyFill="1" applyBorder="1" applyAlignment="1">
      <alignment vertical="center"/>
    </xf>
    <xf numFmtId="0" fontId="24" fillId="16" borderId="17" xfId="0" applyFont="1" applyFill="1" applyBorder="1" applyAlignment="1">
      <alignment vertical="center"/>
    </xf>
    <xf numFmtId="0" fontId="24" fillId="17" borderId="17" xfId="0" applyFont="1" applyFill="1" applyBorder="1" applyAlignment="1">
      <alignment vertical="center"/>
    </xf>
    <xf numFmtId="0" fontId="24" fillId="0" borderId="17" xfId="0" applyFont="1" applyBorder="1" applyAlignment="1">
      <alignment vertical="center"/>
    </xf>
    <xf numFmtId="0" fontId="24" fillId="17" borderId="17" xfId="0" applyFont="1" applyFill="1" applyBorder="1" applyAlignment="1">
      <alignment horizontal="left" vertical="center"/>
    </xf>
    <xf numFmtId="0" fontId="24" fillId="15" borderId="1" xfId="0" applyFont="1" applyFill="1" applyBorder="1" applyAlignment="1">
      <alignment horizontal="center"/>
    </xf>
    <xf numFmtId="0" fontId="24" fillId="0" borderId="1" xfId="0" applyFont="1" applyBorder="1"/>
    <xf numFmtId="0" fontId="24" fillId="7" borderId="1" xfId="0" applyFont="1" applyFill="1" applyBorder="1" applyAlignment="1">
      <alignment vertical="center" wrapText="1"/>
    </xf>
    <xf numFmtId="0" fontId="24" fillId="18" borderId="17" xfId="0" applyFont="1" applyFill="1" applyBorder="1" applyAlignment="1">
      <alignment vertical="center"/>
    </xf>
    <xf numFmtId="0" fontId="0" fillId="0" borderId="0" xfId="0" applyAlignment="1">
      <alignment horizontal="center"/>
    </xf>
    <xf numFmtId="0" fontId="24" fillId="0" borderId="22" xfId="0" applyFont="1" applyBorder="1" applyAlignment="1">
      <alignment horizontal="center" vertical="center" wrapText="1"/>
    </xf>
    <xf numFmtId="0" fontId="25" fillId="7" borderId="1" xfId="0" applyFont="1" applyFill="1" applyBorder="1" applyAlignment="1">
      <alignment vertical="center" wrapText="1"/>
    </xf>
    <xf numFmtId="0" fontId="26" fillId="0" borderId="1" xfId="0" applyFont="1" applyBorder="1" applyAlignment="1">
      <alignment vertical="center" wrapText="1"/>
    </xf>
    <xf numFmtId="0" fontId="24" fillId="0" borderId="1" xfId="0" applyFont="1" applyBorder="1" applyAlignment="1">
      <alignment horizontal="center"/>
    </xf>
    <xf numFmtId="0" fontId="24" fillId="0" borderId="1" xfId="0" quotePrefix="1" applyFont="1" applyBorder="1"/>
    <xf numFmtId="0" fontId="24" fillId="17" borderId="1" xfId="0" applyFont="1" applyFill="1" applyBorder="1" applyAlignment="1">
      <alignment vertical="center" wrapText="1"/>
    </xf>
    <xf numFmtId="0" fontId="24" fillId="0" borderId="0" xfId="0" applyFont="1" applyAlignment="1">
      <alignment horizontal="center"/>
    </xf>
    <xf numFmtId="0" fontId="26" fillId="7" borderId="1" xfId="0" applyFont="1" applyFill="1" applyBorder="1" applyAlignment="1">
      <alignment vertical="center" wrapText="1"/>
    </xf>
    <xf numFmtId="0" fontId="26" fillId="17" borderId="1" xfId="0" applyFont="1" applyFill="1" applyBorder="1" applyAlignment="1">
      <alignment vertical="center" wrapText="1"/>
    </xf>
    <xf numFmtId="0" fontId="27" fillId="18" borderId="1" xfId="0" applyFont="1" applyFill="1" applyBorder="1" applyAlignment="1">
      <alignment horizontal="center" vertical="center" wrapText="1"/>
    </xf>
    <xf numFmtId="0" fontId="27" fillId="18" borderId="1" xfId="0" applyFont="1" applyFill="1" applyBorder="1" applyAlignment="1">
      <alignment vertical="center" wrapText="1"/>
    </xf>
    <xf numFmtId="0" fontId="25" fillId="0" borderId="1" xfId="0" applyFont="1" applyBorder="1" applyAlignment="1">
      <alignment vertical="center" wrapText="1"/>
    </xf>
    <xf numFmtId="0" fontId="0" fillId="7" borderId="0" xfId="0" applyFill="1"/>
    <xf numFmtId="0" fontId="9" fillId="2" borderId="11" xfId="0" applyFont="1" applyFill="1" applyBorder="1" applyAlignment="1">
      <alignment horizontal="center" wrapText="1"/>
    </xf>
    <xf numFmtId="0" fontId="9" fillId="2" borderId="12" xfId="0" applyFont="1" applyFill="1" applyBorder="1" applyAlignment="1">
      <alignment horizontal="center" wrapText="1"/>
    </xf>
    <xf numFmtId="0" fontId="9" fillId="2" borderId="13" xfId="0" applyFont="1" applyFill="1" applyBorder="1" applyAlignment="1">
      <alignment horizontal="center" wrapText="1"/>
    </xf>
    <xf numFmtId="0" fontId="10" fillId="0" borderId="6" xfId="0" applyFont="1" applyBorder="1" applyAlignment="1" applyProtection="1">
      <alignment horizontal="center" wrapText="1"/>
      <protection locked="0"/>
    </xf>
    <xf numFmtId="0" fontId="10" fillId="0" borderId="1" xfId="0" applyFont="1" applyBorder="1" applyAlignment="1" applyProtection="1">
      <alignment horizontal="center" wrapText="1"/>
      <protection locked="0"/>
    </xf>
    <xf numFmtId="0" fontId="10" fillId="0" borderId="7" xfId="0" applyFont="1" applyBorder="1" applyAlignment="1" applyProtection="1">
      <alignment horizontal="center" wrapText="1"/>
      <protection locked="0"/>
    </xf>
    <xf numFmtId="0" fontId="10" fillId="0" borderId="8" xfId="0" applyFont="1" applyBorder="1" applyAlignment="1" applyProtection="1">
      <alignment horizontal="center" wrapText="1"/>
      <protection locked="0"/>
    </xf>
    <xf numFmtId="0" fontId="10" fillId="0" borderId="9" xfId="0" applyFont="1" applyBorder="1" applyAlignment="1" applyProtection="1">
      <alignment horizontal="center" wrapText="1"/>
      <protection locked="0"/>
    </xf>
    <xf numFmtId="0" fontId="10" fillId="0" borderId="10" xfId="0" applyFont="1" applyBorder="1" applyAlignment="1" applyProtection="1">
      <alignment horizontal="center" wrapText="1"/>
      <protection locked="0"/>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1" fillId="2" borderId="4" xfId="0" applyFont="1" applyFill="1" applyBorder="1" applyAlignment="1">
      <alignment horizontal="center" wrapText="1"/>
    </xf>
    <xf numFmtId="0" fontId="1" fillId="2" borderId="5" xfId="0" applyFont="1" applyFill="1" applyBorder="1" applyAlignment="1">
      <alignment horizontal="center" wrapText="1"/>
    </xf>
    <xf numFmtId="0" fontId="10" fillId="0" borderId="0" xfId="0" applyFont="1" applyAlignment="1">
      <alignment horizontal="center" wrapText="1"/>
    </xf>
    <xf numFmtId="0" fontId="9" fillId="0" borderId="0" xfId="0" applyFont="1" applyAlignment="1">
      <alignment horizontal="center" wrapText="1"/>
    </xf>
    <xf numFmtId="0" fontId="9" fillId="0" borderId="0" xfId="0" applyFont="1" applyAlignment="1">
      <alignment horizontal="center" vertical="center" wrapText="1"/>
    </xf>
    <xf numFmtId="0" fontId="9" fillId="2" borderId="0" xfId="0" applyFont="1" applyFill="1" applyAlignment="1">
      <alignment horizontal="center" wrapText="1"/>
    </xf>
    <xf numFmtId="0" fontId="9" fillId="2" borderId="11" xfId="0" applyFont="1" applyFill="1" applyBorder="1" applyAlignment="1">
      <alignment horizontal="center"/>
    </xf>
    <xf numFmtId="0" fontId="9" fillId="2" borderId="12" xfId="0" applyFont="1" applyFill="1" applyBorder="1" applyAlignment="1">
      <alignment horizontal="center"/>
    </xf>
    <xf numFmtId="0" fontId="9" fillId="2" borderId="13" xfId="0" applyFont="1" applyFill="1" applyBorder="1" applyAlignment="1">
      <alignment horizontal="center"/>
    </xf>
    <xf numFmtId="0" fontId="9" fillId="2" borderId="2" xfId="0" applyFont="1" applyFill="1" applyBorder="1" applyAlignment="1">
      <alignment horizontal="center"/>
    </xf>
    <xf numFmtId="0" fontId="9" fillId="2" borderId="3" xfId="0" applyFont="1" applyFill="1" applyBorder="1" applyAlignment="1">
      <alignment horizontal="center"/>
    </xf>
    <xf numFmtId="0" fontId="9" fillId="2" borderId="4" xfId="0" applyFont="1" applyFill="1" applyBorder="1" applyAlignment="1">
      <alignment horizontal="center"/>
    </xf>
    <xf numFmtId="0" fontId="16" fillId="0" borderId="0" xfId="0" applyFont="1" applyAlignment="1">
      <alignment horizontal="center"/>
    </xf>
    <xf numFmtId="0" fontId="16" fillId="0" borderId="0" xfId="0" applyFont="1" applyAlignment="1">
      <alignment horizontal="center" vertical="center" wrapText="1"/>
    </xf>
    <xf numFmtId="0" fontId="16" fillId="2" borderId="2" xfId="0" applyFont="1" applyFill="1" applyBorder="1" applyAlignment="1">
      <alignment horizontal="center"/>
    </xf>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0" xfId="0" applyFont="1" applyFill="1" applyAlignment="1">
      <alignment horizontal="center"/>
    </xf>
    <xf numFmtId="0" fontId="18" fillId="0" borderId="0" xfId="0" applyFont="1" applyAlignment="1">
      <alignment horizontal="center"/>
    </xf>
    <xf numFmtId="0" fontId="6" fillId="0" borderId="0" xfId="0" applyFont="1" applyAlignment="1">
      <alignment horizontal="center" vertical="center"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6" fillId="0" borderId="0" xfId="0" applyFont="1" applyAlignment="1">
      <alignment horizontal="left" wrapText="1"/>
    </xf>
    <xf numFmtId="0" fontId="9" fillId="2" borderId="2" xfId="0" applyFont="1" applyFill="1" applyBorder="1" applyAlignment="1">
      <alignment horizontal="center" wrapText="1"/>
    </xf>
    <xf numFmtId="0" fontId="9" fillId="2" borderId="3" xfId="0" applyFont="1" applyFill="1" applyBorder="1" applyAlignment="1">
      <alignment horizontal="center" wrapText="1"/>
    </xf>
    <xf numFmtId="0" fontId="9" fillId="2" borderId="4" xfId="0" applyFont="1" applyFill="1" applyBorder="1" applyAlignment="1">
      <alignment horizontal="center" wrapText="1"/>
    </xf>
    <xf numFmtId="0" fontId="11" fillId="2" borderId="0" xfId="0" applyFont="1" applyFill="1" applyAlignment="1">
      <alignment horizontal="center" wrapText="1"/>
    </xf>
    <xf numFmtId="0" fontId="11" fillId="0" borderId="0" xfId="0" applyFont="1" applyAlignment="1">
      <alignment horizontal="center" wrapText="1"/>
    </xf>
    <xf numFmtId="0" fontId="9" fillId="0" borderId="0" xfId="0" applyFont="1" applyAlignment="1">
      <alignment horizontal="center"/>
    </xf>
    <xf numFmtId="0" fontId="11" fillId="0" borderId="0" xfId="0" applyFont="1" applyAlignment="1">
      <alignment horizontal="center"/>
    </xf>
    <xf numFmtId="0" fontId="9"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0" fontId="0" fillId="10" borderId="1" xfId="0" applyFill="1" applyBorder="1" applyAlignment="1">
      <alignment horizontal="center" wrapText="1"/>
    </xf>
    <xf numFmtId="0" fontId="0" fillId="11" borderId="1" xfId="0" applyFill="1" applyBorder="1" applyAlignment="1">
      <alignment horizontal="center" wrapText="1"/>
    </xf>
    <xf numFmtId="0" fontId="0" fillId="6" borderId="1" xfId="0" applyFill="1" applyBorder="1" applyAlignment="1">
      <alignment horizontal="center" wrapText="1"/>
    </xf>
    <xf numFmtId="0" fontId="0" fillId="7" borderId="1" xfId="0" applyFill="1" applyBorder="1" applyAlignment="1">
      <alignment horizontal="center" wrapText="1"/>
    </xf>
    <xf numFmtId="0" fontId="0" fillId="4" borderId="1" xfId="0" applyFill="1" applyBorder="1" applyAlignment="1">
      <alignment horizontal="center" wrapText="1"/>
    </xf>
    <xf numFmtId="0" fontId="0" fillId="5" borderId="1" xfId="0" applyFill="1" applyBorder="1" applyAlignment="1">
      <alignment horizontal="center" wrapText="1"/>
    </xf>
    <xf numFmtId="0" fontId="0" fillId="8" borderId="17" xfId="0" applyFill="1" applyBorder="1" applyAlignment="1">
      <alignment horizontal="center" wrapText="1"/>
    </xf>
    <xf numFmtId="0" fontId="0" fillId="8" borderId="18" xfId="0" applyFill="1" applyBorder="1" applyAlignment="1">
      <alignment horizontal="center" wrapText="1"/>
    </xf>
    <xf numFmtId="0" fontId="0" fillId="8" borderId="19" xfId="0" applyFill="1" applyBorder="1" applyAlignment="1">
      <alignment horizontal="center" wrapText="1"/>
    </xf>
    <xf numFmtId="0" fontId="0" fillId="9" borderId="1" xfId="0" applyFill="1" applyBorder="1" applyAlignment="1">
      <alignment horizontal="center" wrapText="1"/>
    </xf>
    <xf numFmtId="0" fontId="27" fillId="18" borderId="20" xfId="0" applyFont="1" applyFill="1" applyBorder="1" applyAlignment="1">
      <alignment horizontal="center" vertical="center" wrapText="1"/>
    </xf>
    <xf numFmtId="0" fontId="27" fillId="18" borderId="21" xfId="0" applyFont="1" applyFill="1" applyBorder="1" applyAlignment="1">
      <alignment horizontal="center" vertical="center" wrapText="1"/>
    </xf>
    <xf numFmtId="0" fontId="27" fillId="18" borderId="22" xfId="0" applyFont="1" applyFill="1" applyBorder="1" applyAlignment="1">
      <alignment horizontal="center" vertical="center" wrapText="1"/>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0" xfId="0" applyFont="1" applyBorder="1" applyAlignment="1">
      <alignment horizontal="center" vertical="center"/>
    </xf>
    <xf numFmtId="0" fontId="24" fillId="0" borderId="21" xfId="0" applyFont="1" applyBorder="1" applyAlignment="1">
      <alignment horizontal="center" vertical="center"/>
    </xf>
    <xf numFmtId="0" fontId="24" fillId="0" borderId="22" xfId="0" applyFont="1" applyBorder="1" applyAlignment="1">
      <alignment horizontal="center" vertical="center"/>
    </xf>
  </cellXfs>
  <cellStyles count="2">
    <cellStyle name="Normal" xfId="0" builtinId="0"/>
    <cellStyle name="Normal 49" xfId="1" xr:uid="{4FFD755A-F906-4664-BFE3-14D085CE23D7}"/>
  </cellStyles>
  <dxfs count="660">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val="0"/>
        <i val="0"/>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ont>
        <b val="0"/>
        <i val="0"/>
        <color auto="1"/>
      </font>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theme="4" tint="-0.499984740745262"/>
        </patternFill>
      </fill>
      <border>
        <left/>
        <right/>
        <top/>
        <bottom/>
        <vertical/>
        <horizontal/>
      </border>
    </dxf>
    <dxf>
      <fill>
        <patternFill>
          <bgColor rgb="FFFFFF00"/>
        </patternFill>
      </fill>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00206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ont>
        <b/>
        <i val="0"/>
        <color theme="0"/>
      </font>
      <fill>
        <patternFill>
          <bgColor theme="4" tint="-0.499984740745262"/>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theme="0"/>
      </font>
      <fill>
        <patternFill>
          <bgColor theme="4" tint="-0.499984740745262"/>
        </patternFill>
      </fill>
    </dxf>
    <dxf>
      <font>
        <b/>
        <i val="0"/>
        <color theme="0"/>
      </font>
      <fill>
        <patternFill>
          <bgColor theme="4" tint="-0.499984740745262"/>
        </patternFill>
      </fill>
    </dxf>
    <dxf>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33CC33"/>
      <color rgb="FFFFCCCC"/>
      <color rgb="FFFF99FF"/>
      <color rgb="FFCC99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HAWYES\Downloads\RM6232-Attachment-3-Annex-B-Deliverables-Matrix-Lot-1a-1b-1c-v2.0%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epartmentfortransportuk.sharepoint.com/sites/3rdGenTFMRe-ProcCDG-CFGP-PROP/Shared%20Documents/General/Workstream/Scope%20&amp;%20Specification/Building%20Packs/DVSA/Data%20Sheets/DVSA007%20Abergavenny%20DTC.xlsx" TargetMode="External"/><Relationship Id="rId1" Type="http://schemas.openxmlformats.org/officeDocument/2006/relationships/externalLinkPath" Target="https://departmentfortransportuk.sharepoint.com/sites/3rdGenTFMRe-ProcCDG-CFGP-PROP/Shared%20Documents/General/Workstream/Scope%20&amp;%20Specification/Building%20Packs/DVSA/Data%20Sheets/DVSA007%20Abergavenny%20D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Sheet"/>
      <sheetName val="Estate Information"/>
      <sheetName val="Service Matrix"/>
      <sheetName val="Building Specifics"/>
      <sheetName val="Asset Collection"/>
      <sheetName val="Reactive Works"/>
      <sheetName val="Lookup"/>
    </sheetNames>
    <sheetDataSet>
      <sheetData sheetId="0"/>
      <sheetData sheetId="1"/>
      <sheetData sheetId="2"/>
      <sheetData sheetId="3"/>
      <sheetData sheetId="4"/>
      <sheetData sheetId="5"/>
      <sheetData sheetId="6"/>
      <sheetData sheetId="7">
        <row r="3">
          <cell r="C3" t="str">
            <v>Tees Valley and Durham</v>
          </cell>
        </row>
        <row r="4">
          <cell r="C4" t="str">
            <v>Northumberland and Tyne and Wear</v>
          </cell>
        </row>
        <row r="5">
          <cell r="C5" t="str">
            <v>Cumbria</v>
          </cell>
        </row>
        <row r="6">
          <cell r="C6" t="str">
            <v>Greater Manchester</v>
          </cell>
        </row>
        <row r="7">
          <cell r="C7" t="str">
            <v>Lancashire</v>
          </cell>
        </row>
        <row r="8">
          <cell r="C8" t="str">
            <v>Cheshire</v>
          </cell>
        </row>
        <row r="9">
          <cell r="C9" t="str">
            <v>Merseyside</v>
          </cell>
        </row>
        <row r="10">
          <cell r="C10" t="str">
            <v>East Yorkshire and Northern Lincolnshire</v>
          </cell>
        </row>
        <row r="11">
          <cell r="C11" t="str">
            <v>North Yorkshire</v>
          </cell>
        </row>
        <row r="12">
          <cell r="C12" t="str">
            <v>South Yorkshire</v>
          </cell>
        </row>
        <row r="13">
          <cell r="C13" t="str">
            <v>West Yorkshire</v>
          </cell>
        </row>
        <row r="14">
          <cell r="C14" t="str">
            <v>Derbyshire and Nottinghamshire</v>
          </cell>
        </row>
        <row r="15">
          <cell r="C15" t="str">
            <v>Leicestershire, Rutland and Northamptonshire</v>
          </cell>
        </row>
        <row r="16">
          <cell r="C16" t="str">
            <v>Lincolnshire</v>
          </cell>
        </row>
        <row r="17">
          <cell r="C17" t="str">
            <v>Herefordshire, Worcestershire and Warwickshire</v>
          </cell>
        </row>
        <row r="18">
          <cell r="C18" t="str">
            <v>Shropshire and Staffordshire</v>
          </cell>
        </row>
        <row r="19">
          <cell r="C19" t="str">
            <v>West Midlands (county)</v>
          </cell>
        </row>
        <row r="20">
          <cell r="C20" t="str">
            <v>East Anglia</v>
          </cell>
        </row>
        <row r="21">
          <cell r="C21" t="str">
            <v>Bedfordshire and Hertfordshire</v>
          </cell>
        </row>
        <row r="22">
          <cell r="C22" t="str">
            <v>Essex</v>
          </cell>
        </row>
        <row r="23">
          <cell r="C23" t="str">
            <v>Inner London - West</v>
          </cell>
        </row>
        <row r="24">
          <cell r="C24" t="str">
            <v>Inner London - East</v>
          </cell>
        </row>
        <row r="25">
          <cell r="C25" t="str">
            <v>Outer London - East and North East</v>
          </cell>
        </row>
        <row r="26">
          <cell r="C26" t="str">
            <v>Outer London - South</v>
          </cell>
        </row>
        <row r="27">
          <cell r="C27" t="str">
            <v>Outer London - West and North West</v>
          </cell>
        </row>
        <row r="28">
          <cell r="C28" t="str">
            <v>Berkshire, Buckinghamshire and Oxfordshire</v>
          </cell>
        </row>
        <row r="29">
          <cell r="C29" t="str">
            <v>Surrey, East and West Sussex</v>
          </cell>
        </row>
        <row r="30">
          <cell r="C30" t="str">
            <v>Hampshire and Isle of Wight</v>
          </cell>
        </row>
        <row r="31">
          <cell r="C31" t="str">
            <v>Kent</v>
          </cell>
        </row>
        <row r="32">
          <cell r="C32" t="str">
            <v>Gloucestershire, Wiltshire and Bristol/Bath area</v>
          </cell>
        </row>
        <row r="33">
          <cell r="C33" t="str">
            <v>Dorset and Somerset</v>
          </cell>
        </row>
        <row r="34">
          <cell r="C34" t="str">
            <v>Cornwall and Isles of Scilly</v>
          </cell>
        </row>
        <row r="35">
          <cell r="C35" t="str">
            <v>Devon</v>
          </cell>
        </row>
        <row r="36">
          <cell r="C36" t="str">
            <v>Isle of Anglesey</v>
          </cell>
        </row>
        <row r="37">
          <cell r="C37" t="str">
            <v>Gwynedd</v>
          </cell>
        </row>
        <row r="38">
          <cell r="C38" t="str">
            <v>Conwy and Denbighshire</v>
          </cell>
        </row>
        <row r="39">
          <cell r="C39" t="str">
            <v>South West Wales (Ceredigion, Carmarthenshire, Pembrokeshire)</v>
          </cell>
        </row>
        <row r="40">
          <cell r="C40" t="str">
            <v>Central Valleys (Merthyr Tydfil, Rhondda Cynon Taff)</v>
          </cell>
        </row>
        <row r="41">
          <cell r="C41" t="str">
            <v>Gwent Valleys (Blaenau Gwent, Caerphilly, Torfaen)</v>
          </cell>
        </row>
        <row r="42">
          <cell r="C42" t="str">
            <v>Bridgend and Neath Port Talbot</v>
          </cell>
        </row>
        <row r="43">
          <cell r="C43" t="str">
            <v>Swansea</v>
          </cell>
        </row>
        <row r="44">
          <cell r="C44" t="str">
            <v>Monmouthshire and Newport</v>
          </cell>
        </row>
        <row r="45">
          <cell r="C45" t="str">
            <v>Cardiff and Vale of Glamorgan</v>
          </cell>
        </row>
        <row r="46">
          <cell r="C46" t="str">
            <v>Flintshire and Wrexham</v>
          </cell>
        </row>
        <row r="47">
          <cell r="C47" t="str">
            <v>Powys</v>
          </cell>
        </row>
        <row r="48">
          <cell r="C48" t="str">
            <v>Angus and Dundee</v>
          </cell>
        </row>
        <row r="49">
          <cell r="C49" t="str">
            <v>Clackmannanshire and Fife</v>
          </cell>
        </row>
        <row r="50">
          <cell r="C50" t="str">
            <v>East Lothian and Midlothian</v>
          </cell>
        </row>
        <row r="51">
          <cell r="C51" t="str">
            <v>Scottish Borders</v>
          </cell>
        </row>
        <row r="52">
          <cell r="C52" t="str">
            <v>Edinburgh</v>
          </cell>
        </row>
        <row r="53">
          <cell r="C53" t="str">
            <v>Falkirk</v>
          </cell>
        </row>
        <row r="54">
          <cell r="C54" t="str">
            <v>Perth and Kinross, and Stirling</v>
          </cell>
        </row>
        <row r="55">
          <cell r="C55" t="str">
            <v>West Lothian</v>
          </cell>
        </row>
        <row r="56">
          <cell r="C56" t="str">
            <v>East Dunbartonshire, West Dunbartonshire, and Helensburgh and Lomond</v>
          </cell>
        </row>
        <row r="57">
          <cell r="C57" t="str">
            <v>Dumfries and Galloway</v>
          </cell>
        </row>
        <row r="58">
          <cell r="C58" t="str">
            <v>East and North Ayrshire mainland</v>
          </cell>
        </row>
        <row r="59">
          <cell r="C59" t="str">
            <v>Glasgow</v>
          </cell>
        </row>
        <row r="60">
          <cell r="C60" t="str">
            <v>Inverclyde, East Renfrewshire, and Renfrewshire</v>
          </cell>
        </row>
        <row r="61">
          <cell r="C61" t="str">
            <v>North Lanarkshire</v>
          </cell>
        </row>
        <row r="62">
          <cell r="C62" t="str">
            <v>South Ayrshire</v>
          </cell>
        </row>
        <row r="63">
          <cell r="C63" t="str">
            <v>South Lanarkshire</v>
          </cell>
        </row>
        <row r="64">
          <cell r="C64" t="str">
            <v>Aberdeen and Aberdeenshire</v>
          </cell>
        </row>
        <row r="65">
          <cell r="C65" t="str">
            <v>Caithness and Sutherland, and Ross and Cromarty</v>
          </cell>
        </row>
        <row r="66">
          <cell r="C66" t="str">
            <v>Inverness, Nairn, Moray, and Badenoch and Strathspey</v>
          </cell>
        </row>
        <row r="67">
          <cell r="C67" t="str">
            <v>Lochaber, Skye and Lochalsh, Arran and Cumbrae, and Argyll and Bute (except Helensburgh and Lomond)</v>
          </cell>
        </row>
        <row r="68">
          <cell r="C68" t="str">
            <v>Eilean Siar (Western Isles)</v>
          </cell>
        </row>
        <row r="69">
          <cell r="C69" t="str">
            <v>Orkney Islands</v>
          </cell>
        </row>
        <row r="70">
          <cell r="C70" t="str">
            <v>Shetland Islands</v>
          </cell>
        </row>
        <row r="71">
          <cell r="C71" t="str">
            <v>Belfast</v>
          </cell>
        </row>
        <row r="72">
          <cell r="C72" t="str">
            <v>Outer Belfast (Carrickfergus, Castlereagh, Lisburn, Newtownabbey, North Down)</v>
          </cell>
        </row>
        <row r="73">
          <cell r="C73" t="str">
            <v>East of Northern Ireland (Antrim, Ards, Ballymena, Banbridge, Craigavon, Down, Larne)</v>
          </cell>
        </row>
        <row r="74">
          <cell r="C74" t="str">
            <v>North of Northern Ireland (Ballymoney, Coleraine, Derry, Limavady, Moyle, Strabane)</v>
          </cell>
        </row>
        <row r="75">
          <cell r="C75" t="str">
            <v>West and South of Northern Ireland (Armagh, Cookstown, Dungannon, Fermanagh, Magherafelt, Newry and Mourne, Omagh)</v>
          </cell>
        </row>
        <row r="76">
          <cell r="C76" t="str">
            <v>National coverage (all of the above)</v>
          </cell>
        </row>
        <row r="77">
          <cell r="C77" t="str">
            <v>International coverage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Version Control"/>
      <sheetName val="Building Description"/>
      <sheetName val="Hard Services"/>
      <sheetName val="Health &amp; Safety"/>
      <sheetName val="Cleaning and soft services"/>
      <sheetName val="Security"/>
      <sheetName val="Grounds"/>
      <sheetName val="Catering"/>
      <sheetName val="Environmental"/>
      <sheetName val="Longlist"/>
      <sheetName val="Service Matrix"/>
      <sheetName val="Estate Information"/>
      <sheetName val="Data lists"/>
    </sheetNames>
    <sheetDataSet>
      <sheetData sheetId="0"/>
      <sheetData sheetId="1"/>
      <sheetData sheetId="2"/>
      <sheetData sheetId="3"/>
      <sheetData sheetId="4"/>
      <sheetData sheetId="5"/>
      <sheetData sheetId="6"/>
      <sheetData sheetId="7"/>
      <sheetData sheetId="8"/>
      <sheetData sheetId="9"/>
      <sheetData sheetId="10"/>
      <sheetData sheetId="11">
        <row r="1">
          <cell r="Z1" t="str">
            <v>Office</v>
          </cell>
          <cell r="AA1" t="str">
            <v>Standard</v>
          </cell>
        </row>
        <row r="2">
          <cell r="Z2" t="str">
            <v>Driving Test Centre (Cars)</v>
          </cell>
          <cell r="AA2" t="str">
            <v>Standard</v>
          </cell>
        </row>
        <row r="3">
          <cell r="Z3" t="str">
            <v>Multi-Purpose Test Centre (Cars/Motorbikes/HGV)</v>
          </cell>
          <cell r="AA3" t="str">
            <v>Standard</v>
          </cell>
        </row>
        <row r="4">
          <cell r="Z4" t="str">
            <v>Goods Vehicle Testing Station</v>
          </cell>
          <cell r="AA4" t="str">
            <v>Non-Standard</v>
          </cell>
        </row>
        <row r="5">
          <cell r="Z5" t="str">
            <v>Enforcement</v>
          </cell>
          <cell r="AA5" t="str">
            <v>Non-Standard</v>
          </cell>
        </row>
        <row r="6">
          <cell r="Z6" t="str">
            <v>Police Station</v>
          </cell>
          <cell r="AA6" t="str">
            <v>Non-Standard</v>
          </cell>
        </row>
        <row r="7">
          <cell r="Z7" t="str">
            <v>Operational Centre</v>
          </cell>
          <cell r="AA7" t="str">
            <v>Non-Standard</v>
          </cell>
        </row>
        <row r="8">
          <cell r="Z8" t="str">
            <v>Depot/Warehouse</v>
          </cell>
          <cell r="AA8" t="str">
            <v>Standard</v>
          </cell>
        </row>
        <row r="9">
          <cell r="Z9" t="str">
            <v>Coastguard site</v>
          </cell>
          <cell r="AA9" t="str">
            <v>Non-Standard</v>
          </cell>
        </row>
        <row r="10">
          <cell r="Z10" t="str">
            <v>Radio Site</v>
          </cell>
          <cell r="AA10" t="str">
            <v>Non-Standard</v>
          </cell>
        </row>
        <row r="11">
          <cell r="Z11" t="str">
            <v>Control rooms</v>
          </cell>
          <cell r="AA11" t="str">
            <v>Non-Standard</v>
          </cell>
        </row>
        <row r="12">
          <cell r="Z12" t="str">
            <v>Specialised units</v>
          </cell>
          <cell r="AA12" t="str">
            <v>Non-Standard</v>
          </cell>
        </row>
      </sheetData>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Phil Hawyes" id="{32F47A07-3D42-45D3-BC3A-FF90E8BC42C2}" userId="S::Phil.Hawyes@dft.gov.uk::c325bef5-fdac-4e89-a46c-ef0bfcdeec0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8" dT="2022-06-10T13:58:09.47" personId="{32F47A07-3D42-45D3-BC3A-FF90E8BC42C2}" id="{74BA9621-56E3-40F8-8CAD-440F98E90EFB}">
    <text>Use Google Maps for coordinates.  Enter location onto google maps then right click on the pin that appears.  The top set of numbers are the coordiantes of the location.</text>
  </threadedComment>
  <threadedComment ref="B30" dT="2022-05-25T09:56:13.93" personId="{32F47A07-3D42-45D3-BC3A-FF90E8BC42C2}" id="{129F27F8-D617-496D-8DF7-B789C207C19D}">
    <text>‘Those critical elements of infrastructure (namely assets, facilities, systems, networks or processes and the essential workers that operate and facilitate them), the loss or compromise of which could result in:
a)    Major detrimental impact on the availability, integrity or delivery of essential services – including those services whose integrity, if compromised, could result in significant loss of life or casualties – taking into account significant economic or social impacts; and/or
b)    Significant impact on national security, national defence, or the functioning of the state.’</text>
  </threadedComment>
</ThreadedComments>
</file>

<file path=xl/threadedComments/threadedComment2.xml><?xml version="1.0" encoding="utf-8"?>
<ThreadedComments xmlns="http://schemas.microsoft.com/office/spreadsheetml/2018/threadedcomments" xmlns:x="http://schemas.openxmlformats.org/spreadsheetml/2006/main">
  <threadedComment ref="C1" dT="2023-02-15T16:59:01.32" personId="{32F47A07-3D42-45D3-BC3A-FF90E8BC42C2}" id="{43815512-4977-449B-BC1C-4E69F42AC3A1}">
    <text>Not recorded on BP's, but should be a standard requirement so any site where there is a requirement for helpdesk has this automatically set to Standard.</text>
  </threadedComment>
  <threadedComment ref="C5" dT="2023-02-14T10:19:45.22" personId="{32F47A07-3D42-45D3-BC3A-FF90E8BC42C2}" id="{FFA173E4-F96C-47EB-9BEF-6804B4B382FD}">
    <text>Not used</text>
  </threadedComment>
  <threadedComment ref="C10" dT="2023-02-14T15:44:07.62" personId="{32F47A07-3D42-45D3-BC3A-FF90E8BC42C2}" id="{D5A8290B-2744-450E-9534-B0DDF876E8BA}">
    <text>Building pack has this as a yes or no so defaulted to standard.</text>
  </threadedComment>
  <threadedComment ref="C24" dT="2023-02-10T15:25:27.63" personId="{32F47A07-3D42-45D3-BC3A-FF90E8BC42C2}" id="{D23BAF4B-15EF-49E5-85B2-2867D246C533}">
    <text>Using our instruction for internal fabric maintenance</text>
  </threadedComment>
  <threadedComment ref="C24" dT="2023-02-24T15:39:24.54" personId="{32F47A07-3D42-45D3-BC3A-FF90E8BC42C2}" id="{27AD0EF0-4762-4BC4-8FC0-0E86DFA56396}" parentId="{D23BAF4B-15EF-49E5-85B2-2867D246C533}">
    <text>Consider changing to any M&amp;E service</text>
  </threadedComment>
  <threadedComment ref="C25" dT="2023-02-24T15:51:00.48" personId="{32F47A07-3D42-45D3-BC3A-FF90E8BC42C2}" id="{A24D79E6-AE3A-4E2F-A5A9-71CCD7EA8A4F}">
    <text>Check with CCS if this service is being priced for?  Scope states Billable.</text>
  </threadedComment>
  <threadedComment ref="C39" dT="2023-02-24T16:03:44.19" personId="{32F47A07-3D42-45D3-BC3A-FF90E8BC42C2}" id="{3E977E60-DFA8-4403-BBC7-DC02F56801CF}">
    <text>Only applicable to DfT and HS2 - Manual input</text>
  </threadedComment>
  <threadedComment ref="C57" dT="2023-02-10T11:19:33.64" personId="{32F47A07-3D42-45D3-BC3A-FF90E8BC42C2}" id="{7507884D-B759-4313-BC16-491EDE5EECE8}">
    <text>Helipads and MMA's listed as non-standard - check</text>
  </threadedComment>
  <threadedComment ref="C60" dT="2023-02-10T11:28:54.31" personId="{32F47A07-3D42-45D3-BC3A-FF90E8BC42C2}" id="{7F4EE42A-B93D-4B74-93A6-AEEDE9827B32}">
    <text>Non-std is higher trigger</text>
  </threadedComment>
  <threadedComment ref="C86" dT="2023-02-24T16:03:58.40" personId="{32F47A07-3D42-45D3-BC3A-FF90E8BC42C2}" id="{A9FED5C5-3F36-4881-9BA2-83AE7B0BF3EF}">
    <text>How do we manage this</text>
  </threadedComment>
  <threadedComment ref="C86" dT="2023-02-27T14:29:52.00" personId="{32F47A07-3D42-45D3-BC3A-FF90E8BC42C2}" id="{1F3439BC-E490-445A-877B-754CEC6ED527}" parentId="{A9FED5C5-3F36-4881-9BA2-83AE7B0BF3EF}">
    <text>Check with MCA if it's logical to link this to Hard Landscaping.</text>
  </threadedComment>
  <threadedComment ref="C89" dT="2023-02-24T16:06:20.93" personId="{32F47A07-3D42-45D3-BC3A-FF90E8BC42C2}" id="{252F76EE-B385-4632-BEB4-EC57AB05C952}">
    <text>How do we populate.  Not included in BP.</text>
  </threadedComment>
  <threadedComment ref="C89" dT="2023-02-27T14:39:07.13" personId="{32F47A07-3D42-45D3-BC3A-FF90E8BC42C2}" id="{B0231FB9-26E5-4657-AC89-E683CD0F8642}" parentId="{252F76EE-B385-4632-BEB4-EC57AB05C952}">
    <text>Manual entry</text>
  </threadedComment>
  <threadedComment ref="C96" dT="2023-02-10T14:41:58.94" personId="{32F47A07-3D42-45D3-BC3A-FF90E8BC42C2}" id="{E21FA6D3-1235-434A-8EE9-6F88B8CDDB08}">
    <text>Non-standard if restrictions in methods used</text>
  </threadedComment>
  <threadedComment ref="C102" dT="2023-02-10T12:12:46.51" personId="{32F47A07-3D42-45D3-BC3A-FF90E8BC42C2}" id="{ED79C201-E9C9-4F91-B77A-53498F2F19CC}">
    <text>We've called handyman</text>
  </threadedComment>
  <threadedComment ref="C114" dT="2023-02-15T17:00:22.46" personId="{32F47A07-3D42-45D3-BC3A-FF90E8BC42C2}" id="{452A42E1-696C-4A73-ABD8-CFA0484A074E}">
    <text>Manual input other than SAMs</text>
  </threadedComment>
  <threadedComment ref="C116" dT="2023-02-09T16:49:01.62" personId="{32F47A07-3D42-45D3-BC3A-FF90E8BC42C2}" id="{05F6D6FC-EE19-4E4E-9DF2-096CA7203D8B}">
    <text>Assumption that ooh service is non-standard</text>
  </threadedComment>
  <threadedComment ref="C125" dT="2023-02-09T16:36:41.59" personId="{32F47A07-3D42-45D3-BC3A-FF90E8BC42C2}" id="{70AAC73F-E43D-4849-991E-20D153FCBFFA}">
    <text>Manual input</text>
  </threadedComment>
</ThreadedComments>
</file>

<file path=xl/threadedComments/threadedComment3.xml><?xml version="1.0" encoding="utf-8"?>
<ThreadedComments xmlns="http://schemas.microsoft.com/office/spreadsheetml/2018/threadedcomments" xmlns:x="http://schemas.openxmlformats.org/spreadsheetml/2006/main">
  <threadedComment ref="B17" dT="2023-02-10T16:14:50.53" personId="{32F47A07-3D42-45D3-BC3A-FF90E8BC42C2}" id="{E70021CB-06D5-475E-9CD4-6B8B6B508363}">
    <text>What does this mean?</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3E66E-1DB9-4655-8388-DF4C0DAEADD0}">
  <dimension ref="B1:B5"/>
  <sheetViews>
    <sheetView showGridLines="0" workbookViewId="0">
      <selection activeCell="J22" sqref="J22"/>
    </sheetView>
  </sheetViews>
  <sheetFormatPr defaultRowHeight="14.5" x14ac:dyDescent="0.35"/>
  <sheetData>
    <row r="1" spans="2:2" x14ac:dyDescent="0.35">
      <c r="B1" s="128" t="s">
        <v>0</v>
      </c>
    </row>
    <row r="2" spans="2:2" x14ac:dyDescent="0.35">
      <c r="B2" s="127" t="s">
        <v>1</v>
      </c>
    </row>
    <row r="3" spans="2:2" x14ac:dyDescent="0.35">
      <c r="B3" s="127" t="s">
        <v>2</v>
      </c>
    </row>
    <row r="4" spans="2:2" x14ac:dyDescent="0.35">
      <c r="B4" s="127" t="s">
        <v>3</v>
      </c>
    </row>
    <row r="5" spans="2:2" x14ac:dyDescent="0.35">
      <c r="B5" s="127" t="s">
        <v>4</v>
      </c>
    </row>
  </sheetData>
  <sheetProtection algorithmName="SHA-512" hashValue="SONToib7aGuFiOmLHZz/1nqM6T6SQV7MqcriaVVVGk4nScVU5tM6GKOE57OD1e64g8E7BE60bc6HlZllB9cKKA==" saltValue="UDDXRwqMq1LyfRP1cUFx4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F742B-0FF3-4A05-82ED-1F5ECB2C761D}">
  <sheetPr>
    <tabColor rgb="FF33CC33"/>
  </sheetPr>
  <dimension ref="B1:I120"/>
  <sheetViews>
    <sheetView showGridLines="0" workbookViewId="0">
      <pane xSplit="1" ySplit="9" topLeftCell="B35" activePane="bottomRight" state="frozen"/>
      <selection pane="topRight" activeCell="G12" sqref="G12"/>
      <selection pane="bottomLeft" activeCell="G12" sqref="G12"/>
      <selection pane="bottomRight" activeCell="D99" sqref="D99"/>
    </sheetView>
  </sheetViews>
  <sheetFormatPr defaultRowHeight="14.5" x14ac:dyDescent="0.35"/>
  <cols>
    <col min="1" max="1" width="3.54296875" customWidth="1"/>
    <col min="2" max="2" width="40.54296875" customWidth="1"/>
    <col min="3" max="3" width="3.54296875" customWidth="1"/>
    <col min="4" max="4" width="40.54296875" customWidth="1"/>
    <col min="5" max="5" width="3.54296875" customWidth="1"/>
    <col min="6" max="6" width="40.54296875" customWidth="1"/>
    <col min="7" max="7" width="3.54296875" customWidth="1"/>
    <col min="8" max="8" width="40.54296875" customWidth="1"/>
    <col min="9" max="9" width="20.7265625" customWidth="1"/>
    <col min="10" max="10" width="20.54296875" customWidth="1"/>
  </cols>
  <sheetData>
    <row r="1" spans="2:9" ht="15" thickBot="1" x14ac:dyDescent="0.4"/>
    <row r="2" spans="2:9" ht="16" thickBot="1" x14ac:dyDescent="0.4">
      <c r="B2" s="193" t="s">
        <v>10</v>
      </c>
      <c r="C2" s="194"/>
      <c r="D2" s="195"/>
      <c r="F2" s="179" t="s">
        <v>11</v>
      </c>
      <c r="G2" s="180"/>
      <c r="H2" s="180"/>
      <c r="I2" s="181"/>
    </row>
    <row r="3" spans="2:9" ht="15.5" x14ac:dyDescent="0.35">
      <c r="B3" s="2"/>
      <c r="F3" s="165"/>
      <c r="G3" s="166"/>
      <c r="H3" s="166"/>
      <c r="I3" s="167"/>
    </row>
    <row r="4" spans="2:9" ht="15.5" x14ac:dyDescent="0.35">
      <c r="B4" s="5" t="s">
        <v>12</v>
      </c>
      <c r="D4" s="1" t="str">
        <f>IF('Building Description'!D4="","",'Building Description'!D4)</f>
        <v/>
      </c>
      <c r="F4" s="165"/>
      <c r="G4" s="166"/>
      <c r="H4" s="166"/>
      <c r="I4" s="167"/>
    </row>
    <row r="5" spans="2:9" ht="15.5" x14ac:dyDescent="0.35">
      <c r="B5" s="2"/>
      <c r="F5" s="165"/>
      <c r="G5" s="166"/>
      <c r="H5" s="166"/>
      <c r="I5" s="167"/>
    </row>
    <row r="6" spans="2:9" ht="15.5" x14ac:dyDescent="0.35">
      <c r="B6" s="5" t="s">
        <v>13</v>
      </c>
      <c r="D6" s="1" t="str">
        <f>IF('Building Description'!D6="","",'Building Description'!D6)</f>
        <v/>
      </c>
      <c r="F6" s="165"/>
      <c r="G6" s="166"/>
      <c r="H6" s="166"/>
      <c r="I6" s="167"/>
    </row>
    <row r="7" spans="2:9" ht="15.5" x14ac:dyDescent="0.35">
      <c r="B7" s="2"/>
      <c r="F7" s="165"/>
      <c r="G7" s="166"/>
      <c r="H7" s="166"/>
      <c r="I7" s="167"/>
    </row>
    <row r="8" spans="2:9" ht="15.5" x14ac:dyDescent="0.35">
      <c r="B8" s="5" t="s">
        <v>14</v>
      </c>
      <c r="D8" s="1" t="str">
        <f>IF('Building Description'!D8="","",'Building Description'!D8)</f>
        <v/>
      </c>
      <c r="F8" s="165"/>
      <c r="G8" s="166"/>
      <c r="H8" s="166"/>
      <c r="I8" s="167"/>
    </row>
    <row r="9" spans="2:9" ht="16" thickBot="1" x14ac:dyDescent="0.4">
      <c r="B9" s="2"/>
      <c r="F9" s="168"/>
      <c r="G9" s="169"/>
      <c r="H9" s="169"/>
      <c r="I9" s="170"/>
    </row>
    <row r="10" spans="2:9" ht="15.5" x14ac:dyDescent="0.35">
      <c r="B10" s="204" t="s">
        <v>114</v>
      </c>
      <c r="C10" s="204"/>
      <c r="D10" s="204"/>
    </row>
    <row r="11" spans="2:9" ht="15.5" x14ac:dyDescent="0.35">
      <c r="B11" s="45"/>
      <c r="C11" s="45"/>
      <c r="D11" s="45"/>
    </row>
    <row r="12" spans="2:9" ht="15.5" x14ac:dyDescent="0.35">
      <c r="B12" s="50" t="s">
        <v>115</v>
      </c>
      <c r="C12" s="45"/>
      <c r="D12" s="78"/>
      <c r="F12" t="str">
        <f>IF(D12="Y","Go to row 22","")</f>
        <v/>
      </c>
    </row>
    <row r="13" spans="2:9" ht="15.5" x14ac:dyDescent="0.35">
      <c r="B13" s="46"/>
      <c r="C13" s="46"/>
      <c r="D13" s="46"/>
    </row>
    <row r="14" spans="2:9" ht="15.65" customHeight="1" x14ac:dyDescent="0.35">
      <c r="B14" s="49" t="s">
        <v>116</v>
      </c>
      <c r="C14" s="45"/>
      <c r="D14" s="78"/>
    </row>
    <row r="16" spans="2:9" ht="15.5" x14ac:dyDescent="0.35">
      <c r="B16" s="50" t="s">
        <v>117</v>
      </c>
      <c r="C16" s="46"/>
      <c r="D16" s="78" t="s">
        <v>36</v>
      </c>
      <c r="E16" s="2"/>
      <c r="F16" s="2" t="str">
        <f>IF(D16="Y","Go to row 68","")</f>
        <v>Go to row 68</v>
      </c>
    </row>
    <row r="17" spans="2:9" ht="15.5" x14ac:dyDescent="0.35">
      <c r="B17" s="19"/>
      <c r="C17" s="46"/>
      <c r="D17" s="19"/>
      <c r="E17" s="2"/>
      <c r="F17" s="2"/>
    </row>
    <row r="18" spans="2:9" ht="15.5" x14ac:dyDescent="0.35">
      <c r="B18" s="50" t="s">
        <v>118</v>
      </c>
      <c r="C18" s="46"/>
      <c r="D18" s="78"/>
      <c r="E18" s="2"/>
      <c r="F18" s="2" t="str">
        <f>IF(D18="Y","Go to row 86","")</f>
        <v/>
      </c>
    </row>
    <row r="19" spans="2:9" ht="15.5" x14ac:dyDescent="0.35">
      <c r="B19" s="19"/>
      <c r="C19" s="46"/>
      <c r="D19" s="19"/>
      <c r="E19" s="2"/>
      <c r="F19" s="2"/>
    </row>
    <row r="20" spans="2:9" ht="15.5" x14ac:dyDescent="0.35">
      <c r="B20" s="50" t="s">
        <v>119</v>
      </c>
      <c r="C20" s="46"/>
      <c r="D20" s="78"/>
      <c r="E20" s="2"/>
      <c r="F20" t="str">
        <f>IF(D20="Y","Detail","")</f>
        <v/>
      </c>
      <c r="H20" s="66"/>
      <c r="I20" s="2"/>
    </row>
    <row r="21" spans="2:9" ht="15.5" x14ac:dyDescent="0.35">
      <c r="B21" s="19"/>
      <c r="C21" s="46"/>
      <c r="D21" s="19"/>
      <c r="E21" s="2"/>
      <c r="F21" s="2"/>
    </row>
    <row r="22" spans="2:9" ht="15.5" x14ac:dyDescent="0.35">
      <c r="B22" s="202" t="str">
        <f>IF(D12="Y","Waste services","")</f>
        <v/>
      </c>
      <c r="C22" s="202"/>
      <c r="D22" s="202"/>
      <c r="E22" s="2"/>
      <c r="F22" s="2"/>
    </row>
    <row r="23" spans="2:9" ht="15.5" x14ac:dyDescent="0.35">
      <c r="B23" s="19"/>
      <c r="C23" s="46"/>
      <c r="D23" s="19"/>
      <c r="E23" s="2"/>
      <c r="F23" s="2"/>
    </row>
    <row r="24" spans="2:9" ht="15.5" x14ac:dyDescent="0.35">
      <c r="B24" s="19" t="str">
        <f>IF(D12="Y","Waste reporting data required","")</f>
        <v/>
      </c>
      <c r="C24" s="46"/>
      <c r="D24" s="76"/>
      <c r="E24" s="2"/>
      <c r="F24" s="2" t="str">
        <f>IF(D24="Y","Frequency","")</f>
        <v/>
      </c>
      <c r="H24" s="66"/>
    </row>
    <row r="25" spans="2:9" ht="15.5" x14ac:dyDescent="0.35">
      <c r="B25" s="19"/>
      <c r="C25" s="46"/>
      <c r="D25" s="19"/>
      <c r="E25" s="2"/>
      <c r="F25" s="2"/>
    </row>
    <row r="26" spans="2:9" ht="15.5" x14ac:dyDescent="0.35">
      <c r="B26" s="51" t="str">
        <f>IF(D12="Y","On Site / Mobile Classified Waste Shredding Service","")</f>
        <v/>
      </c>
      <c r="C26" s="46"/>
      <c r="D26" s="76"/>
      <c r="E26" s="2"/>
      <c r="F26" s="2" t="str">
        <f>IF(D26="Y","Location","")</f>
        <v/>
      </c>
      <c r="H26" s="66"/>
    </row>
    <row r="27" spans="2:9" ht="15.5" x14ac:dyDescent="0.35">
      <c r="B27" s="51"/>
      <c r="C27" s="46"/>
      <c r="D27" s="46"/>
      <c r="E27" s="2"/>
      <c r="F27" s="2"/>
    </row>
    <row r="28" spans="2:9" ht="15.5" x14ac:dyDescent="0.35">
      <c r="B28" s="51" t="str">
        <f>IF(D12="Y","Off Site / Mobile Classified Waste Shredding Service","")</f>
        <v/>
      </c>
      <c r="C28" s="46"/>
      <c r="D28" s="76"/>
      <c r="E28" s="2"/>
      <c r="F28" s="2"/>
    </row>
    <row r="29" spans="2:9" ht="15.5" x14ac:dyDescent="0.35">
      <c r="B29" s="51"/>
      <c r="C29" s="46"/>
      <c r="D29" s="46"/>
      <c r="E29" s="2"/>
      <c r="F29" s="2"/>
    </row>
    <row r="30" spans="2:9" ht="15.5" x14ac:dyDescent="0.35">
      <c r="B30" s="51" t="str">
        <f>IF(D12="Y","General waste","")</f>
        <v/>
      </c>
      <c r="C30" s="46"/>
      <c r="D30" s="76"/>
      <c r="E30" s="2"/>
      <c r="F30" s="2" t="str">
        <f>IF(D30="Y","Annual volumes","")</f>
        <v/>
      </c>
      <c r="H30" s="66"/>
    </row>
    <row r="31" spans="2:9" ht="15.5" x14ac:dyDescent="0.35">
      <c r="B31" s="51"/>
      <c r="C31" s="46"/>
      <c r="D31" s="46"/>
      <c r="E31" s="2"/>
      <c r="F31" s="2"/>
    </row>
    <row r="32" spans="2:9" ht="15.5" x14ac:dyDescent="0.35">
      <c r="B32" s="51" t="str">
        <f>IF(D30="Y","Frequency","")</f>
        <v/>
      </c>
      <c r="C32" s="46"/>
      <c r="D32" s="77"/>
      <c r="E32" s="2"/>
      <c r="F32" s="2" t="str">
        <f>IF(D30="Y","Bin store location","")</f>
        <v/>
      </c>
      <c r="H32" s="66"/>
    </row>
    <row r="33" spans="2:8" ht="15.5" x14ac:dyDescent="0.35">
      <c r="B33" s="51"/>
      <c r="C33" s="46"/>
      <c r="D33" s="46"/>
      <c r="E33" s="2"/>
      <c r="F33" s="2"/>
    </row>
    <row r="34" spans="2:8" ht="15.5" x14ac:dyDescent="0.35">
      <c r="B34" s="51" t="str">
        <f>IF(D12="Y","Recycled waste","")</f>
        <v/>
      </c>
      <c r="C34" s="46"/>
      <c r="D34" s="76"/>
      <c r="E34" s="2"/>
    </row>
    <row r="35" spans="2:8" ht="15.5" x14ac:dyDescent="0.35">
      <c r="B35" s="51"/>
      <c r="C35" s="46"/>
      <c r="D35" s="46"/>
      <c r="E35" s="2"/>
      <c r="F35" s="2"/>
    </row>
    <row r="36" spans="2:8" ht="15.5" x14ac:dyDescent="0.35">
      <c r="B36" s="2" t="str">
        <f>IF(D34="Y","Plastics","")</f>
        <v/>
      </c>
      <c r="C36" s="46"/>
      <c r="D36" s="76"/>
      <c r="E36" s="2"/>
      <c r="F36" s="2" t="str">
        <f>IF(D36="Y","Annual volumes","")</f>
        <v/>
      </c>
      <c r="H36" s="66"/>
    </row>
    <row r="37" spans="2:8" ht="15.5" x14ac:dyDescent="0.35">
      <c r="B37" s="51"/>
      <c r="C37" s="46"/>
      <c r="D37" s="46"/>
      <c r="E37" s="2"/>
      <c r="F37" s="2"/>
    </row>
    <row r="38" spans="2:8" ht="15.5" x14ac:dyDescent="0.35">
      <c r="B38" s="51" t="str">
        <f>IF(D36="Y","Bin size","")</f>
        <v/>
      </c>
      <c r="C38" s="46"/>
      <c r="D38" s="46"/>
      <c r="E38" s="2"/>
      <c r="F38" s="2" t="str">
        <f>IF(D36="Y","Collection frequency","")</f>
        <v/>
      </c>
    </row>
    <row r="39" spans="2:8" ht="15.5" x14ac:dyDescent="0.35">
      <c r="B39" s="51"/>
      <c r="C39" s="46"/>
      <c r="D39" s="46"/>
      <c r="E39" s="2"/>
      <c r="F39" s="2"/>
    </row>
    <row r="40" spans="2:8" ht="15.5" x14ac:dyDescent="0.35">
      <c r="B40" s="51" t="str">
        <f>IF(D34="Y","Metal","")</f>
        <v/>
      </c>
      <c r="C40" s="46"/>
      <c r="D40" s="76"/>
      <c r="E40" s="2"/>
      <c r="F40" s="2" t="str">
        <f>IF(D40="Y","Annual volumes","")</f>
        <v/>
      </c>
      <c r="H40" s="66"/>
    </row>
    <row r="41" spans="2:8" ht="15.5" x14ac:dyDescent="0.35">
      <c r="B41" s="51"/>
      <c r="C41" s="46"/>
      <c r="D41" s="46"/>
      <c r="E41" s="2"/>
      <c r="F41" s="2"/>
    </row>
    <row r="42" spans="2:8" ht="15.5" x14ac:dyDescent="0.35">
      <c r="B42" s="51" t="str">
        <f>IF(D40="Y","Bin size","")</f>
        <v/>
      </c>
      <c r="C42" s="46"/>
      <c r="D42" s="77"/>
      <c r="E42" s="2"/>
      <c r="F42" s="2" t="str">
        <f>IF(D40="Y","Collection frequency","")</f>
        <v/>
      </c>
      <c r="H42" s="66"/>
    </row>
    <row r="43" spans="2:8" ht="15.5" x14ac:dyDescent="0.35">
      <c r="B43" s="51"/>
      <c r="C43" s="46"/>
      <c r="D43" s="46"/>
      <c r="E43" s="2"/>
      <c r="F43" s="2"/>
    </row>
    <row r="44" spans="2:8" ht="15.5" x14ac:dyDescent="0.35">
      <c r="B44" s="2" t="str">
        <f>IF(D34="Y","Glass","")</f>
        <v/>
      </c>
      <c r="C44" s="46"/>
      <c r="D44" s="76"/>
      <c r="E44" s="2"/>
      <c r="F44" s="2" t="str">
        <f>IF(D44="Y","Annual volumes","")</f>
        <v/>
      </c>
      <c r="H44" s="66"/>
    </row>
    <row r="45" spans="2:8" ht="15.5" x14ac:dyDescent="0.35">
      <c r="B45" s="51"/>
      <c r="C45" s="46"/>
      <c r="D45" s="46"/>
      <c r="E45" s="2"/>
      <c r="F45" s="2"/>
    </row>
    <row r="46" spans="2:8" ht="15.5" x14ac:dyDescent="0.35">
      <c r="B46" s="51" t="str">
        <f>IF(D44="Y","Bin size","")</f>
        <v/>
      </c>
      <c r="C46" s="46"/>
      <c r="D46" s="77"/>
      <c r="E46" s="2"/>
      <c r="F46" s="2" t="str">
        <f>IF(D44="Y","Collection frequency","")</f>
        <v/>
      </c>
      <c r="H46" s="66"/>
    </row>
    <row r="47" spans="2:8" ht="15.5" x14ac:dyDescent="0.35">
      <c r="B47" s="51" t="str">
        <f>IF(D44="Y","Bin size","")</f>
        <v/>
      </c>
      <c r="C47" s="46"/>
      <c r="D47" s="46"/>
      <c r="E47" s="2"/>
      <c r="F47" s="2" t="str">
        <f>IF(D44="Y","Collection frequency","")</f>
        <v/>
      </c>
    </row>
    <row r="48" spans="2:8" ht="15.5" x14ac:dyDescent="0.35">
      <c r="B48" s="51" t="str">
        <f>IF(D34="Y","Mixed dry recycling","")</f>
        <v/>
      </c>
      <c r="C48" s="46"/>
      <c r="D48" s="76"/>
      <c r="E48" s="2"/>
      <c r="F48" s="2" t="str">
        <f>IF(D48="Y","Annual volumes","")</f>
        <v/>
      </c>
      <c r="H48" s="66"/>
    </row>
    <row r="49" spans="2:8" ht="15.5" x14ac:dyDescent="0.35">
      <c r="B49" s="51"/>
      <c r="C49" s="46"/>
      <c r="D49" s="46"/>
      <c r="E49" s="2"/>
      <c r="F49" s="2"/>
    </row>
    <row r="50" spans="2:8" ht="15.5" x14ac:dyDescent="0.35">
      <c r="B50" s="51" t="str">
        <f>IF(D48="Y","Bin size","")</f>
        <v/>
      </c>
      <c r="C50" s="46"/>
      <c r="D50" s="77"/>
      <c r="E50" s="2"/>
      <c r="F50" s="2" t="str">
        <f>IF(D48="Y","Collection frequency","")</f>
        <v/>
      </c>
      <c r="H50" s="66"/>
    </row>
    <row r="51" spans="2:8" ht="15.5" x14ac:dyDescent="0.35">
      <c r="B51" s="51"/>
      <c r="C51" s="46"/>
      <c r="D51" s="46"/>
      <c r="E51" s="2"/>
      <c r="F51" s="2"/>
    </row>
    <row r="52" spans="2:8" ht="15.5" x14ac:dyDescent="0.35">
      <c r="B52" s="51" t="str">
        <f>IF(D34="Y","Cardboard","")</f>
        <v/>
      </c>
      <c r="C52" s="46"/>
      <c r="D52" s="76"/>
      <c r="E52" s="2"/>
      <c r="F52" s="2" t="str">
        <f>IF(D52="Y","Annual volumes","")</f>
        <v/>
      </c>
      <c r="H52" s="66"/>
    </row>
    <row r="53" spans="2:8" ht="15.5" x14ac:dyDescent="0.35">
      <c r="B53" s="51"/>
      <c r="C53" s="46"/>
      <c r="D53" s="46"/>
      <c r="E53" s="2"/>
      <c r="F53" s="2"/>
    </row>
    <row r="54" spans="2:8" ht="15.5" x14ac:dyDescent="0.35">
      <c r="B54" s="51" t="str">
        <f>IF(D52="Y","Bin size","")</f>
        <v/>
      </c>
      <c r="C54" s="46"/>
      <c r="D54" s="77"/>
      <c r="E54" s="2"/>
      <c r="F54" s="2" t="str">
        <f>IF(D52="Y","Collection frequency","")</f>
        <v/>
      </c>
      <c r="H54" s="66"/>
    </row>
    <row r="55" spans="2:8" ht="15.5" x14ac:dyDescent="0.35">
      <c r="B55" s="51"/>
      <c r="C55" s="46"/>
      <c r="D55" s="46"/>
      <c r="E55" s="2"/>
      <c r="F55" s="2"/>
    </row>
    <row r="56" spans="2:8" ht="15.5" x14ac:dyDescent="0.35">
      <c r="B56" s="51" t="str">
        <f>IF(D34="Y","Paper recycling","")</f>
        <v/>
      </c>
      <c r="C56" s="46"/>
      <c r="D56" s="77"/>
      <c r="E56" s="2"/>
      <c r="F56" s="2" t="str">
        <f>IF(D56="Y","Annual volumes","")</f>
        <v/>
      </c>
      <c r="H56" s="66"/>
    </row>
    <row r="57" spans="2:8" ht="15.5" x14ac:dyDescent="0.35">
      <c r="B57" s="51"/>
      <c r="C57" s="46"/>
      <c r="D57" s="46"/>
      <c r="E57" s="2"/>
      <c r="F57" s="2"/>
    </row>
    <row r="58" spans="2:8" ht="15.5" x14ac:dyDescent="0.35">
      <c r="B58" s="51" t="str">
        <f>IF(D56="Y","Bin size","")</f>
        <v/>
      </c>
      <c r="C58" s="46"/>
      <c r="D58" s="77"/>
      <c r="E58" s="2"/>
      <c r="F58" s="2" t="str">
        <f>IF(D56="Y","Collection frequency","")</f>
        <v/>
      </c>
      <c r="H58" s="66"/>
    </row>
    <row r="59" spans="2:8" ht="15.5" x14ac:dyDescent="0.35">
      <c r="B59" s="51"/>
      <c r="C59" s="46"/>
      <c r="D59" s="46"/>
      <c r="E59" s="2"/>
      <c r="F59" s="2"/>
    </row>
    <row r="60" spans="2:8" ht="15.5" x14ac:dyDescent="0.35">
      <c r="B60" s="2" t="str">
        <f>IF(D34="Y","Compost","")</f>
        <v/>
      </c>
      <c r="C60" s="46"/>
      <c r="D60" s="76"/>
      <c r="E60" s="2"/>
      <c r="F60" s="2" t="str">
        <f>IF(D60="Y","Annual volumes","")</f>
        <v/>
      </c>
      <c r="H60" s="66"/>
    </row>
    <row r="61" spans="2:8" ht="15.5" x14ac:dyDescent="0.35">
      <c r="B61" s="51"/>
      <c r="C61" s="46"/>
      <c r="D61" s="46"/>
      <c r="E61" s="2"/>
      <c r="F61" s="2"/>
    </row>
    <row r="62" spans="2:8" ht="15.5" x14ac:dyDescent="0.35">
      <c r="B62" s="51" t="str">
        <f>IF(D60="Y","Bin size","")</f>
        <v/>
      </c>
      <c r="C62" s="46"/>
      <c r="D62" s="77"/>
      <c r="E62" s="2"/>
      <c r="F62" s="2" t="str">
        <f>IF(D60="Y","Collection frequency","")</f>
        <v/>
      </c>
      <c r="H62" s="66"/>
    </row>
    <row r="63" spans="2:8" ht="15.5" x14ac:dyDescent="0.35">
      <c r="B63" s="51"/>
      <c r="C63" s="46"/>
      <c r="D63" s="46"/>
      <c r="E63" s="2"/>
      <c r="F63" s="2"/>
    </row>
    <row r="64" spans="2:8" ht="15.5" x14ac:dyDescent="0.35">
      <c r="B64" s="2" t="str">
        <f>IF(D34="Y","Recycled waste for re-use","")</f>
        <v/>
      </c>
      <c r="C64" s="46"/>
      <c r="D64" s="76"/>
      <c r="E64" s="2"/>
      <c r="F64" s="2" t="str">
        <f>IF(D64="Y","Annual volumes","")</f>
        <v/>
      </c>
      <c r="H64" s="66"/>
    </row>
    <row r="65" spans="2:8" ht="15.5" x14ac:dyDescent="0.35">
      <c r="B65" s="51"/>
      <c r="C65" s="46"/>
      <c r="D65" s="46"/>
      <c r="E65" s="2"/>
      <c r="F65" s="2"/>
    </row>
    <row r="66" spans="2:8" ht="15.5" x14ac:dyDescent="0.35">
      <c r="B66" s="51" t="str">
        <f>IF(D64="Y","Bin size","")</f>
        <v/>
      </c>
      <c r="C66" s="46"/>
      <c r="D66" s="107"/>
      <c r="E66" s="2"/>
      <c r="F66" s="2" t="str">
        <f>IF(D64="Y","Collection frequency","")</f>
        <v/>
      </c>
      <c r="H66" s="66"/>
    </row>
    <row r="67" spans="2:8" ht="15.5" x14ac:dyDescent="0.35">
      <c r="B67" s="51"/>
      <c r="C67" s="46"/>
      <c r="D67" s="46"/>
      <c r="E67" s="2"/>
      <c r="F67" s="2"/>
    </row>
    <row r="68" spans="2:8" ht="15.5" x14ac:dyDescent="0.35">
      <c r="B68" s="51" t="str">
        <f>IF(D34="Y","Battery collection","")</f>
        <v/>
      </c>
      <c r="C68" s="46"/>
      <c r="D68" s="76"/>
      <c r="E68" s="2"/>
      <c r="F68" s="2"/>
    </row>
    <row r="69" spans="2:8" ht="15.5" x14ac:dyDescent="0.35">
      <c r="B69" s="51"/>
      <c r="C69" s="46"/>
      <c r="D69" s="76"/>
      <c r="E69" s="2"/>
      <c r="F69" s="2"/>
    </row>
    <row r="70" spans="2:8" ht="15.5" x14ac:dyDescent="0.35">
      <c r="B70" s="51" t="str">
        <f>IF(D67="Y","Bin size","")</f>
        <v/>
      </c>
      <c r="C70" s="46"/>
      <c r="D70" s="77"/>
      <c r="E70" s="2"/>
      <c r="F70" s="2" t="str">
        <f>IF(D67="Y","Collection frequency","")</f>
        <v/>
      </c>
      <c r="H70" s="66"/>
    </row>
    <row r="71" spans="2:8" ht="15.5" x14ac:dyDescent="0.35">
      <c r="B71" s="51"/>
      <c r="C71" s="46"/>
      <c r="D71" s="46"/>
      <c r="E71" s="2"/>
      <c r="F71" s="2"/>
    </row>
    <row r="72" spans="2:8" ht="15.5" x14ac:dyDescent="0.35">
      <c r="B72" s="51" t="str">
        <f>IF(D12="Y","Hazardous waste","")</f>
        <v/>
      </c>
      <c r="C72" s="46"/>
      <c r="D72" s="76"/>
      <c r="E72" s="2"/>
      <c r="F72" s="2" t="str">
        <f>IF(D72="Y","Size, number and location of units","")</f>
        <v/>
      </c>
      <c r="H72" s="66"/>
    </row>
    <row r="73" spans="2:8" ht="15.5" x14ac:dyDescent="0.35">
      <c r="B73" s="51"/>
      <c r="C73" s="46"/>
      <c r="D73" s="46"/>
      <c r="E73" s="2"/>
      <c r="F73" s="2"/>
    </row>
    <row r="74" spans="2:8" ht="15.5" x14ac:dyDescent="0.35">
      <c r="B74" s="51" t="str">
        <f>IF(D12="Y","Specialist Waste Destruction Services ","")</f>
        <v/>
      </c>
      <c r="C74" s="46"/>
      <c r="D74" s="76"/>
      <c r="E74" s="2"/>
      <c r="F74" s="2"/>
    </row>
    <row r="75" spans="2:8" ht="15.5" x14ac:dyDescent="0.35">
      <c r="B75" s="51"/>
      <c r="C75" s="46"/>
      <c r="D75" s="46"/>
      <c r="E75" s="2"/>
      <c r="F75" s="2"/>
    </row>
    <row r="76" spans="2:8" ht="15.5" x14ac:dyDescent="0.35">
      <c r="B76" s="51" t="str">
        <f>IF(D74="Y","Weapons disposal","")</f>
        <v/>
      </c>
      <c r="C76" s="46"/>
      <c r="D76" s="77"/>
      <c r="E76" s="2"/>
      <c r="F76" s="51" t="str">
        <f>IF(D74="Y","Needle disposal","")</f>
        <v/>
      </c>
      <c r="H76" s="66"/>
    </row>
    <row r="77" spans="2:8" ht="15.5" x14ac:dyDescent="0.35">
      <c r="B77" s="2"/>
      <c r="C77" s="46"/>
      <c r="D77" s="46"/>
      <c r="E77" s="2"/>
      <c r="F77" s="2"/>
    </row>
    <row r="78" spans="2:8" ht="15.5" x14ac:dyDescent="0.35">
      <c r="B78" s="51" t="str">
        <f>IF(D74="Y","Aerosol disposal","")</f>
        <v/>
      </c>
      <c r="C78" s="46"/>
      <c r="D78" s="77"/>
      <c r="E78" s="2"/>
      <c r="F78" s="2" t="str">
        <f>IF(D74="Y","Other","")</f>
        <v/>
      </c>
      <c r="H78" s="66"/>
    </row>
    <row r="79" spans="2:8" ht="15.5" x14ac:dyDescent="0.35">
      <c r="B79" s="51"/>
      <c r="C79" s="46"/>
      <c r="D79" s="46"/>
      <c r="E79" s="2"/>
      <c r="F79" s="2"/>
    </row>
    <row r="80" spans="2:8" ht="15.5" x14ac:dyDescent="0.35">
      <c r="B80" s="51" t="str">
        <f>IF(D12="Y","Clinical Waste","")</f>
        <v/>
      </c>
      <c r="C80" s="46"/>
      <c r="D80" s="76"/>
      <c r="E80" s="2"/>
      <c r="F80" s="2" t="str">
        <f>IF(D80="Y","Number required","")</f>
        <v/>
      </c>
      <c r="H80" s="66"/>
    </row>
    <row r="81" spans="2:8" ht="15.5" x14ac:dyDescent="0.35">
      <c r="B81" s="51"/>
      <c r="C81" s="46"/>
      <c r="D81" s="46"/>
      <c r="E81" s="2"/>
      <c r="F81" s="2"/>
    </row>
    <row r="82" spans="2:8" ht="15.5" x14ac:dyDescent="0.35">
      <c r="B82" s="51" t="str">
        <f>IF(D80="Y","Size of units","")</f>
        <v/>
      </c>
      <c r="C82" s="46"/>
      <c r="D82" s="77"/>
      <c r="E82" s="2"/>
      <c r="F82" s="2" t="str">
        <f>IF(D80="Y","Location","")</f>
        <v/>
      </c>
      <c r="H82" s="66"/>
    </row>
    <row r="83" spans="2:8" ht="15.5" x14ac:dyDescent="0.35">
      <c r="B83" s="51"/>
      <c r="C83" s="46"/>
      <c r="D83" s="46"/>
      <c r="E83" s="2"/>
      <c r="F83" s="2"/>
    </row>
    <row r="84" spans="2:8" ht="15.5" x14ac:dyDescent="0.35">
      <c r="B84" s="51" t="str">
        <f>IF(D12="Y","Feminine hygiene waste","")</f>
        <v/>
      </c>
      <c r="C84" s="46"/>
      <c r="D84" s="76"/>
      <c r="E84" s="2"/>
      <c r="F84" s="2" t="str">
        <f>IF(D84="Y","Number required","")</f>
        <v/>
      </c>
      <c r="H84" s="66"/>
    </row>
    <row r="85" spans="2:8" ht="15.5" x14ac:dyDescent="0.35">
      <c r="B85" s="2"/>
      <c r="C85" s="46"/>
      <c r="D85" s="46"/>
      <c r="E85" s="2"/>
      <c r="F85" s="2"/>
    </row>
    <row r="86" spans="2:8" ht="15.5" x14ac:dyDescent="0.35">
      <c r="B86" s="51" t="str">
        <f>IF(D84="Y","Size of units","")</f>
        <v/>
      </c>
      <c r="C86" s="46"/>
      <c r="D86" s="77"/>
      <c r="E86" s="2"/>
      <c r="F86" s="2" t="str">
        <f>IF(D84="Y","Location","")</f>
        <v/>
      </c>
      <c r="H86" s="66"/>
    </row>
    <row r="87" spans="2:8" ht="15.5" x14ac:dyDescent="0.35">
      <c r="C87" s="46"/>
      <c r="D87" s="46"/>
    </row>
    <row r="88" spans="2:8" ht="15.5" x14ac:dyDescent="0.35">
      <c r="B88" s="202" t="str">
        <f>IF(D16="Y","Energy Performance Certification","")</f>
        <v>Energy Performance Certification</v>
      </c>
      <c r="C88" s="202"/>
      <c r="D88" s="202"/>
    </row>
    <row r="89" spans="2:8" ht="15.5" x14ac:dyDescent="0.35">
      <c r="B89" s="45"/>
      <c r="C89" s="45"/>
      <c r="D89" s="46"/>
    </row>
    <row r="90" spans="2:8" ht="15.5" x14ac:dyDescent="0.35">
      <c r="B90" s="19" t="str">
        <f>IF(D16="Y","Display Energy Certificate required","")</f>
        <v>Display Energy Certificate required</v>
      </c>
      <c r="C90" s="47"/>
      <c r="D90" s="76"/>
      <c r="E90" s="48"/>
      <c r="F90" s="48" t="str">
        <f>IF(D90="Y","Frequency","")</f>
        <v/>
      </c>
      <c r="H90" s="66"/>
    </row>
    <row r="91" spans="2:8" ht="15.5" x14ac:dyDescent="0.35">
      <c r="B91" s="47"/>
      <c r="C91" s="47"/>
      <c r="D91" s="19"/>
      <c r="E91" s="48"/>
      <c r="F91" s="48"/>
    </row>
    <row r="92" spans="2:8" ht="15.5" x14ac:dyDescent="0.35">
      <c r="B92" s="19" t="str">
        <f>IF(D90="Y","Date of last certificate","")</f>
        <v/>
      </c>
      <c r="C92" s="47"/>
      <c r="D92" s="76"/>
      <c r="E92" s="48"/>
      <c r="F92" s="48" t="str">
        <f>IF(D90="Y","Display location","")</f>
        <v/>
      </c>
      <c r="H92" s="66"/>
    </row>
    <row r="93" spans="2:8" x14ac:dyDescent="0.35">
      <c r="B93" s="48"/>
      <c r="C93" s="48"/>
      <c r="D93" s="15"/>
      <c r="E93" s="48"/>
      <c r="F93" s="48"/>
    </row>
    <row r="94" spans="2:8" x14ac:dyDescent="0.35">
      <c r="B94" s="48" t="str">
        <f>IF(D90="Y","Rating","")</f>
        <v/>
      </c>
      <c r="C94" s="48"/>
      <c r="D94" s="74"/>
      <c r="E94" s="48"/>
      <c r="F94" s="48" t="str">
        <f>IF(D90="Y","Score","")</f>
        <v/>
      </c>
      <c r="H94" s="66"/>
    </row>
    <row r="95" spans="2:8" x14ac:dyDescent="0.35">
      <c r="B95" s="48"/>
      <c r="C95" s="48"/>
      <c r="D95" s="15"/>
      <c r="E95" s="48"/>
      <c r="F95" s="48"/>
    </row>
    <row r="96" spans="2:8" x14ac:dyDescent="0.35">
      <c r="B96" s="48" t="str">
        <f>IF(D90="Y","Certificate number","")</f>
        <v/>
      </c>
      <c r="C96" s="48"/>
      <c r="D96" s="74"/>
      <c r="E96" s="48"/>
      <c r="F96" s="48"/>
    </row>
    <row r="97" spans="2:8" x14ac:dyDescent="0.35">
      <c r="D97" s="23"/>
    </row>
    <row r="98" spans="2:8" ht="15.5" x14ac:dyDescent="0.35">
      <c r="B98" s="19" t="str">
        <f>IF(D16="Y","Energy Performance Certificate required","")</f>
        <v>Energy Performance Certificate required</v>
      </c>
      <c r="C98" s="47"/>
      <c r="D98" s="76"/>
      <c r="E98" s="48"/>
      <c r="F98" s="48" t="str">
        <f>IF(D98="Y","Frequency","")</f>
        <v/>
      </c>
      <c r="H98" s="66"/>
    </row>
    <row r="99" spans="2:8" ht="15.5" x14ac:dyDescent="0.35">
      <c r="B99" s="47"/>
      <c r="C99" s="47"/>
      <c r="D99" s="19"/>
      <c r="E99" s="48"/>
      <c r="F99" s="48"/>
    </row>
    <row r="100" spans="2:8" ht="15.5" x14ac:dyDescent="0.35">
      <c r="B100" s="19" t="str">
        <f>IF(D98="Y","Date of last certificate","")</f>
        <v/>
      </c>
      <c r="C100" s="47"/>
      <c r="D100" s="76"/>
      <c r="E100" s="48"/>
      <c r="F100" s="48" t="str">
        <f>IF(D98="Y","Display location (Scotland only)","")</f>
        <v/>
      </c>
      <c r="H100" s="66"/>
    </row>
    <row r="101" spans="2:8" x14ac:dyDescent="0.35">
      <c r="B101" s="48"/>
      <c r="C101" s="48"/>
      <c r="D101" s="15"/>
      <c r="E101" s="48"/>
      <c r="F101" s="48"/>
    </row>
    <row r="102" spans="2:8" x14ac:dyDescent="0.35">
      <c r="B102" s="48" t="str">
        <f>IF(D98="Y","Rating","")</f>
        <v/>
      </c>
      <c r="C102" s="48"/>
      <c r="D102" s="74"/>
      <c r="E102" s="48"/>
      <c r="F102" s="48" t="str">
        <f>IF(D98="Y","Score","")</f>
        <v/>
      </c>
      <c r="H102" s="66"/>
    </row>
    <row r="103" spans="2:8" x14ac:dyDescent="0.35">
      <c r="B103" s="48"/>
      <c r="C103" s="48"/>
      <c r="D103" s="15"/>
      <c r="E103" s="48"/>
      <c r="F103" s="48"/>
    </row>
    <row r="104" spans="2:8" x14ac:dyDescent="0.35">
      <c r="B104" s="48" t="str">
        <f>IF(D98="Y","Certificate number","")</f>
        <v/>
      </c>
      <c r="C104" s="48"/>
      <c r="D104" s="74"/>
      <c r="E104" s="48"/>
      <c r="F104" s="48"/>
    </row>
    <row r="105" spans="2:8" x14ac:dyDescent="0.35">
      <c r="B105" s="48"/>
      <c r="C105" s="48"/>
      <c r="D105" s="15"/>
      <c r="E105" s="48"/>
      <c r="F105" s="73"/>
    </row>
    <row r="106" spans="2:8" x14ac:dyDescent="0.35">
      <c r="B106" s="206" t="str">
        <f>IF(D18="Y","Meter readings","")</f>
        <v/>
      </c>
      <c r="C106" s="206"/>
      <c r="D106" s="206"/>
      <c r="E106" s="48"/>
      <c r="F106" s="48"/>
    </row>
    <row r="107" spans="2:8" x14ac:dyDescent="0.35">
      <c r="B107" s="48"/>
      <c r="C107" s="48"/>
      <c r="D107" s="15"/>
      <c r="E107" s="48"/>
      <c r="F107" s="48"/>
    </row>
    <row r="108" spans="2:8" x14ac:dyDescent="0.35">
      <c r="B108" s="48" t="str">
        <f>IF(D18="Y","Water meter reading required","")</f>
        <v/>
      </c>
      <c r="C108" s="48"/>
      <c r="D108" s="74"/>
      <c r="E108" s="48"/>
      <c r="F108" s="48" t="str">
        <f>IF(D108="Y","Frequency","")</f>
        <v/>
      </c>
      <c r="H108" s="66"/>
    </row>
    <row r="109" spans="2:8" x14ac:dyDescent="0.35">
      <c r="D109" s="23"/>
    </row>
    <row r="110" spans="2:8" x14ac:dyDescent="0.35">
      <c r="B110" t="str">
        <f>IF(D108="Y","Location of meter","")</f>
        <v/>
      </c>
      <c r="D110" s="75"/>
      <c r="F110" t="str">
        <f>IF(D108="Y","Serial number","")</f>
        <v/>
      </c>
      <c r="H110" s="66"/>
    </row>
    <row r="111" spans="2:8" x14ac:dyDescent="0.35">
      <c r="D111" s="23"/>
    </row>
    <row r="112" spans="2:8" ht="15.5" x14ac:dyDescent="0.35">
      <c r="B112" s="48" t="str">
        <f>IF(D18="Y","Electricity meter reading required","")</f>
        <v/>
      </c>
      <c r="C112" s="48"/>
      <c r="D112" s="76"/>
      <c r="E112" s="48"/>
      <c r="F112" s="48" t="str">
        <f>IF(D112="Y","Frequency","")</f>
        <v/>
      </c>
      <c r="H112" s="66"/>
    </row>
    <row r="113" spans="2:8" x14ac:dyDescent="0.35">
      <c r="D113" s="23"/>
    </row>
    <row r="114" spans="2:8" x14ac:dyDescent="0.35">
      <c r="B114" t="str">
        <f>IF(D112="Y","Location of meter","")</f>
        <v/>
      </c>
      <c r="D114" s="75"/>
      <c r="F114" t="str">
        <f>IF(D112="Y","Serial number","")</f>
        <v/>
      </c>
      <c r="H114" s="66"/>
    </row>
    <row r="115" spans="2:8" x14ac:dyDescent="0.35">
      <c r="D115" s="23"/>
    </row>
    <row r="116" spans="2:8" ht="15.5" x14ac:dyDescent="0.35">
      <c r="B116" s="48" t="str">
        <f>IF(D18="Y","Gas meter reading required","")</f>
        <v/>
      </c>
      <c r="C116" s="48"/>
      <c r="D116" s="76"/>
      <c r="E116" s="48"/>
      <c r="F116" s="48" t="str">
        <f>IF(D116="Y","Frequency","")</f>
        <v/>
      </c>
      <c r="H116" s="66"/>
    </row>
    <row r="117" spans="2:8" x14ac:dyDescent="0.35">
      <c r="D117" s="23"/>
    </row>
    <row r="118" spans="2:8" x14ac:dyDescent="0.35">
      <c r="B118" t="str">
        <f>IF(D116="Y","Location of meter","")</f>
        <v/>
      </c>
      <c r="D118" s="75"/>
      <c r="F118" t="str">
        <f>IF(D116="Y","Serial number","")</f>
        <v/>
      </c>
      <c r="H118" s="66"/>
    </row>
    <row r="119" spans="2:8" x14ac:dyDescent="0.35">
      <c r="D119" s="23"/>
    </row>
    <row r="120" spans="2:8" x14ac:dyDescent="0.35">
      <c r="D120" s="23"/>
    </row>
  </sheetData>
  <sheetProtection algorithmName="SHA-512" hashValue="RzWSWgFPOReme0aAKYvF/hKzWNPT2YiSHjzAGfAJPs74Xjq/nzThzjafvHuz891jC5CiRS/uv18+Odlsg4mXRA==" saltValue="EsbTW3cEcJy9y44nCRKHbQ==" spinCount="100000" sheet="1" insertHyperlinks="0" autoFilter="0"/>
  <mergeCells count="7">
    <mergeCell ref="B106:D106"/>
    <mergeCell ref="F2:I2"/>
    <mergeCell ref="F3:I9"/>
    <mergeCell ref="B2:D2"/>
    <mergeCell ref="B10:D10"/>
    <mergeCell ref="B88:D88"/>
    <mergeCell ref="B22:D22"/>
  </mergeCells>
  <conditionalFormatting sqref="F90 H90 B92 D92 F92 H92 B94 D94 F94 H94 B96 D96">
    <cfRule type="expression" dxfId="40" priority="44">
      <formula>$D$90="Y"</formula>
    </cfRule>
  </conditionalFormatting>
  <conditionalFormatting sqref="F98 H98 B100 D100 F100 H100 B102 D102 F102 H102 B104 D104 B106">
    <cfRule type="expression" dxfId="39" priority="43">
      <formula>$D$98="Y"</formula>
    </cfRule>
  </conditionalFormatting>
  <conditionalFormatting sqref="B108 D108 B112 D112 B116 D116">
    <cfRule type="expression" dxfId="38" priority="16">
      <formula>$D$18="Y"</formula>
    </cfRule>
    <cfRule type="expression" dxfId="37" priority="42">
      <formula>#REF!="Y"</formula>
    </cfRule>
  </conditionalFormatting>
  <conditionalFormatting sqref="F108 H108 B110 D110 F110 H110">
    <cfRule type="expression" dxfId="36" priority="41">
      <formula>$D$108="Y"</formula>
    </cfRule>
  </conditionalFormatting>
  <conditionalFormatting sqref="F112 H112 B114 D114 F114 H114">
    <cfRule type="expression" dxfId="35" priority="40">
      <formula>$D$112="Y"</formula>
    </cfRule>
  </conditionalFormatting>
  <conditionalFormatting sqref="F116 H116 B118 D118 F118 H118">
    <cfRule type="expression" dxfId="34" priority="39">
      <formula>$D$116="Y"</formula>
    </cfRule>
  </conditionalFormatting>
  <conditionalFormatting sqref="F26 H26">
    <cfRule type="expression" dxfId="33" priority="37">
      <formula>$D$26="Y"</formula>
    </cfRule>
  </conditionalFormatting>
  <conditionalFormatting sqref="F30 H30 D32 H32">
    <cfRule type="expression" dxfId="32" priority="36">
      <formula>$D$30="Y"</formula>
    </cfRule>
  </conditionalFormatting>
  <conditionalFormatting sqref="B36 D36 B40 D40 B44 D44 B52 D52 B60 D60 B64 D64 D48 B68 D68">
    <cfRule type="expression" dxfId="31" priority="35">
      <formula>$D$34="Y"</formula>
    </cfRule>
  </conditionalFormatting>
  <conditionalFormatting sqref="F36 H36 F40 H40 F44 H44 F52 H52 F60 H60 F64 H64">
    <cfRule type="expression" dxfId="30" priority="34">
      <formula>$D36="Y"</formula>
    </cfRule>
  </conditionalFormatting>
  <conditionalFormatting sqref="B32">
    <cfRule type="expression" dxfId="29" priority="33">
      <formula>$D$30="Y"</formula>
    </cfRule>
  </conditionalFormatting>
  <conditionalFormatting sqref="F32">
    <cfRule type="expression" dxfId="28" priority="32">
      <formula>$D$30="Y"</formula>
    </cfRule>
  </conditionalFormatting>
  <conditionalFormatting sqref="F72 H72">
    <cfRule type="expression" dxfId="27" priority="31">
      <formula>$D$72="Y"</formula>
    </cfRule>
  </conditionalFormatting>
  <conditionalFormatting sqref="B76 D76 B78 D78 F76 H76 F78 H78">
    <cfRule type="expression" dxfId="26" priority="30">
      <formula>$D$74="Y"</formula>
    </cfRule>
  </conditionalFormatting>
  <conditionalFormatting sqref="F80 H80 B82 D82 F82 H82">
    <cfRule type="expression" dxfId="25" priority="29">
      <formula>$D$80="Y"</formula>
    </cfRule>
  </conditionalFormatting>
  <conditionalFormatting sqref="F84 H84 F86 H86 B86 D86">
    <cfRule type="expression" dxfId="24" priority="26">
      <formula>$D$84="Y"</formula>
    </cfRule>
  </conditionalFormatting>
  <conditionalFormatting sqref="F48 H48">
    <cfRule type="expression" dxfId="23" priority="25">
      <formula>$D48="Y"</formula>
    </cfRule>
  </conditionalFormatting>
  <conditionalFormatting sqref="B28 D28 B30 D30 B34 D34 B72 D72 B74 D74 B80 D80 B84 D84 D24 B16 B26 D26 B24">
    <cfRule type="expression" dxfId="22" priority="24">
      <formula>$D$12="Y"</formula>
    </cfRule>
  </conditionalFormatting>
  <conditionalFormatting sqref="F16 H16 H24 F24">
    <cfRule type="expression" dxfId="21" priority="346">
      <formula>$D$24="Y"</formula>
    </cfRule>
  </conditionalFormatting>
  <conditionalFormatting sqref="B22:D22">
    <cfRule type="expression" dxfId="20" priority="23">
      <formula>$D$12="Y"</formula>
    </cfRule>
  </conditionalFormatting>
  <conditionalFormatting sqref="F12">
    <cfRule type="cellIs" dxfId="19" priority="22" operator="greaterThan">
      <formula>""</formula>
    </cfRule>
  </conditionalFormatting>
  <conditionalFormatting sqref="B88:D88">
    <cfRule type="expression" dxfId="18" priority="21">
      <formula>$D$16="Y"</formula>
    </cfRule>
  </conditionalFormatting>
  <conditionalFormatting sqref="F16">
    <cfRule type="cellIs" dxfId="17" priority="20" operator="greaterThan">
      <formula>""</formula>
    </cfRule>
  </conditionalFormatting>
  <conditionalFormatting sqref="B106:D106">
    <cfRule type="expression" dxfId="16" priority="19">
      <formula>$D$18="Y"</formula>
    </cfRule>
  </conditionalFormatting>
  <conditionalFormatting sqref="F18:F19">
    <cfRule type="cellIs" dxfId="15" priority="18" operator="greaterThan">
      <formula>""</formula>
    </cfRule>
  </conditionalFormatting>
  <conditionalFormatting sqref="B90 D90 B98 D98">
    <cfRule type="expression" dxfId="14" priority="17">
      <formula>$D$16="Y"</formula>
    </cfRule>
  </conditionalFormatting>
  <conditionalFormatting sqref="B48">
    <cfRule type="expression" dxfId="13" priority="15">
      <formula>$D$34="Y"</formula>
    </cfRule>
  </conditionalFormatting>
  <conditionalFormatting sqref="F20 H20">
    <cfRule type="expression" dxfId="12" priority="13">
      <formula>$D$20="Y"</formula>
    </cfRule>
  </conditionalFormatting>
  <conditionalFormatting sqref="D68">
    <cfRule type="expression" dxfId="11" priority="12">
      <formula>$D$34="Y"</formula>
    </cfRule>
  </conditionalFormatting>
  <conditionalFormatting sqref="F56 H56">
    <cfRule type="expression" dxfId="10" priority="11">
      <formula>$D56="Y"</formula>
    </cfRule>
  </conditionalFormatting>
  <conditionalFormatting sqref="B56 D56">
    <cfRule type="expression" dxfId="9" priority="10">
      <formula>$D$34="Y"</formula>
    </cfRule>
  </conditionalFormatting>
  <conditionalFormatting sqref="B38 D38 F38 H38">
    <cfRule type="expression" dxfId="8" priority="9">
      <formula>$D$36="Y"</formula>
    </cfRule>
  </conditionalFormatting>
  <conditionalFormatting sqref="B42 D42 F42 H42">
    <cfRule type="expression" dxfId="7" priority="8">
      <formula>$D$40="Y"</formula>
    </cfRule>
  </conditionalFormatting>
  <conditionalFormatting sqref="B46 D46 F46 H46">
    <cfRule type="expression" dxfId="6" priority="7">
      <formula>$D$44="Y"</formula>
    </cfRule>
  </conditionalFormatting>
  <conditionalFormatting sqref="B50 D50 F50 H50">
    <cfRule type="expression" dxfId="5" priority="6">
      <formula>$D$48="Y"</formula>
    </cfRule>
  </conditionalFormatting>
  <conditionalFormatting sqref="B54 D54 F54 H54">
    <cfRule type="expression" dxfId="4" priority="5">
      <formula>$D$52="Y"</formula>
    </cfRule>
  </conditionalFormatting>
  <conditionalFormatting sqref="B58 D58 F58 H58">
    <cfRule type="expression" dxfId="3" priority="4">
      <formula>$D$56="Y"</formula>
    </cfRule>
  </conditionalFormatting>
  <conditionalFormatting sqref="B62 D62 F62 H62">
    <cfRule type="expression" dxfId="2" priority="3">
      <formula>$D$60="Y"</formula>
    </cfRule>
  </conditionalFormatting>
  <conditionalFormatting sqref="B66 D66 F66 H66">
    <cfRule type="expression" dxfId="1" priority="2">
      <formula>$D$64="Y"</formula>
    </cfRule>
  </conditionalFormatting>
  <conditionalFormatting sqref="B70 D70 F70 H70">
    <cfRule type="expression" dxfId="0" priority="1">
      <formula>$D$68="Y"</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58A9C56-D665-4B5F-821F-F16D5B14D8FA}">
          <x14:formula1>
            <xm:f>'Data lists'!$C$1:$C$2</xm:f>
          </x14:formula1>
          <xm:sqref>D90 D98 D112 D116 D108 D12 D28 D30 D34 D72 D74 D80 D84 D36 H76 D44 D52 D60 D40 D14 D48 D23:D26 D16:D21 D64 D76 D78 D68:D69</xm:sqref>
        </x14:dataValidation>
        <x14:dataValidation type="list" allowBlank="1" showInputMessage="1" showErrorMessage="1" xr:uid="{D28894D8-6C81-48B2-AB96-EAE4E2C9A66E}">
          <x14:formula1>
            <xm:f>'Data lists'!$T$1:$T$2</xm:f>
          </x14:formula1>
          <xm:sqref>D56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ECD63-0F6D-4920-BC3E-8ED03E12A366}">
  <dimension ref="B2:AGR18"/>
  <sheetViews>
    <sheetView showGridLines="0" workbookViewId="0">
      <selection activeCell="ABK5" sqref="ABK5"/>
    </sheetView>
  </sheetViews>
  <sheetFormatPr defaultColWidth="9.1796875" defaultRowHeight="14.5" x14ac:dyDescent="0.35"/>
  <cols>
    <col min="1" max="1" width="3.7265625" style="13" customWidth="1"/>
    <col min="2" max="876" width="15.7265625" style="13" customWidth="1"/>
    <col min="877" max="16384" width="9.1796875" style="13"/>
  </cols>
  <sheetData>
    <row r="2" spans="2:876" x14ac:dyDescent="0.35">
      <c r="B2" s="18">
        <v>1</v>
      </c>
      <c r="C2" s="18">
        <v>2</v>
      </c>
      <c r="D2" s="18">
        <v>3</v>
      </c>
      <c r="E2" s="18">
        <v>4</v>
      </c>
      <c r="F2" s="18">
        <v>5</v>
      </c>
      <c r="G2" s="18">
        <v>6</v>
      </c>
      <c r="H2" s="18">
        <v>7</v>
      </c>
      <c r="I2" s="18">
        <v>8</v>
      </c>
      <c r="J2" s="18">
        <v>9</v>
      </c>
      <c r="K2" s="18">
        <v>10</v>
      </c>
      <c r="L2" s="18">
        <v>11</v>
      </c>
      <c r="M2" s="18">
        <v>12</v>
      </c>
      <c r="N2" s="18">
        <v>13</v>
      </c>
      <c r="O2" s="18">
        <v>14</v>
      </c>
      <c r="P2" s="18">
        <v>15</v>
      </c>
      <c r="Q2" s="18">
        <v>16</v>
      </c>
      <c r="R2" s="18">
        <v>17</v>
      </c>
      <c r="S2" s="18">
        <v>18</v>
      </c>
      <c r="T2" s="18">
        <v>19</v>
      </c>
      <c r="U2" s="18">
        <v>20</v>
      </c>
      <c r="V2" s="18">
        <v>21</v>
      </c>
      <c r="W2" s="18">
        <v>22</v>
      </c>
      <c r="X2" s="18">
        <v>23</v>
      </c>
      <c r="Y2" s="18">
        <v>24</v>
      </c>
      <c r="Z2" s="18">
        <v>25</v>
      </c>
      <c r="AA2" s="18">
        <v>26</v>
      </c>
      <c r="AB2" s="18">
        <v>27</v>
      </c>
      <c r="AC2" s="18">
        <v>28</v>
      </c>
      <c r="AD2" s="18">
        <v>29</v>
      </c>
      <c r="AE2" s="18">
        <v>30</v>
      </c>
      <c r="AF2" s="18">
        <v>31</v>
      </c>
      <c r="AG2" s="18">
        <v>32</v>
      </c>
      <c r="AH2" s="18">
        <v>33</v>
      </c>
      <c r="AI2" s="18">
        <v>34</v>
      </c>
      <c r="AJ2" s="18">
        <v>35</v>
      </c>
      <c r="AK2" s="18">
        <v>36</v>
      </c>
      <c r="AL2" s="18">
        <v>37</v>
      </c>
      <c r="AM2" s="18">
        <v>38</v>
      </c>
      <c r="AN2" s="18">
        <v>39</v>
      </c>
      <c r="AO2" s="18">
        <v>40</v>
      </c>
      <c r="AP2" s="18">
        <v>41</v>
      </c>
      <c r="AQ2" s="18">
        <v>42</v>
      </c>
      <c r="AR2" s="18">
        <v>43</v>
      </c>
      <c r="AS2" s="18">
        <v>44</v>
      </c>
      <c r="AT2" s="18">
        <v>45</v>
      </c>
      <c r="AU2" s="18">
        <v>46</v>
      </c>
      <c r="AV2" s="18">
        <v>47</v>
      </c>
      <c r="AW2" s="18">
        <v>48</v>
      </c>
      <c r="AX2" s="18">
        <v>49</v>
      </c>
      <c r="AY2" s="18">
        <v>50</v>
      </c>
      <c r="AZ2" s="18">
        <v>51</v>
      </c>
      <c r="BA2" s="18">
        <v>52</v>
      </c>
      <c r="BB2" s="18">
        <v>53</v>
      </c>
      <c r="BC2" s="18">
        <v>54</v>
      </c>
      <c r="BD2" s="18">
        <v>55</v>
      </c>
      <c r="BE2" s="18">
        <v>56</v>
      </c>
      <c r="BF2" s="18">
        <v>57</v>
      </c>
      <c r="BG2" s="18">
        <v>58</v>
      </c>
      <c r="BH2" s="18">
        <v>59</v>
      </c>
      <c r="BI2" s="18">
        <v>60</v>
      </c>
      <c r="BJ2" s="18">
        <v>61</v>
      </c>
      <c r="BK2" s="18">
        <v>62</v>
      </c>
      <c r="BL2" s="18">
        <v>63</v>
      </c>
      <c r="BM2" s="18">
        <v>64</v>
      </c>
      <c r="BN2" s="18">
        <v>65</v>
      </c>
      <c r="BO2" s="18">
        <v>66</v>
      </c>
      <c r="BP2" s="18">
        <v>67</v>
      </c>
      <c r="BQ2" s="18">
        <v>68</v>
      </c>
      <c r="BR2" s="18">
        <v>69</v>
      </c>
      <c r="BS2" s="18">
        <v>70</v>
      </c>
      <c r="BT2" s="18">
        <v>71</v>
      </c>
      <c r="BU2" s="18">
        <v>72</v>
      </c>
      <c r="BV2" s="18">
        <v>73</v>
      </c>
      <c r="BW2" s="18">
        <v>74</v>
      </c>
      <c r="BX2" s="18">
        <v>75</v>
      </c>
      <c r="BY2" s="18">
        <v>76</v>
      </c>
      <c r="BZ2" s="18">
        <v>77</v>
      </c>
      <c r="CA2" s="18">
        <v>78</v>
      </c>
      <c r="CB2" s="18">
        <v>79</v>
      </c>
      <c r="CC2" s="18">
        <v>80</v>
      </c>
      <c r="CD2" s="18">
        <v>81</v>
      </c>
      <c r="CE2" s="18">
        <v>82</v>
      </c>
      <c r="CF2" s="18">
        <v>83</v>
      </c>
      <c r="CG2" s="18">
        <v>84</v>
      </c>
      <c r="CH2" s="18">
        <v>85</v>
      </c>
      <c r="CI2" s="18">
        <v>86</v>
      </c>
      <c r="CJ2" s="18">
        <v>87</v>
      </c>
      <c r="CK2" s="18">
        <v>88</v>
      </c>
      <c r="CL2" s="18">
        <v>89</v>
      </c>
      <c r="CM2" s="18">
        <v>90</v>
      </c>
      <c r="CN2" s="18">
        <v>91</v>
      </c>
      <c r="CO2" s="18">
        <v>92</v>
      </c>
      <c r="CP2" s="18">
        <v>93</v>
      </c>
      <c r="CQ2" s="18">
        <v>94</v>
      </c>
      <c r="CR2" s="18">
        <v>95</v>
      </c>
      <c r="CS2" s="18">
        <v>96</v>
      </c>
      <c r="CT2" s="18">
        <v>97</v>
      </c>
      <c r="CU2" s="18">
        <v>98</v>
      </c>
      <c r="CV2" s="18">
        <v>99</v>
      </c>
      <c r="CW2" s="18">
        <v>100</v>
      </c>
      <c r="CX2" s="18">
        <v>101</v>
      </c>
      <c r="CY2" s="18">
        <v>102</v>
      </c>
      <c r="CZ2" s="18">
        <v>103</v>
      </c>
      <c r="DA2" s="18">
        <v>104</v>
      </c>
      <c r="DB2" s="18">
        <v>105</v>
      </c>
      <c r="DC2" s="18">
        <v>106</v>
      </c>
      <c r="DD2" s="18">
        <v>107</v>
      </c>
      <c r="DE2" s="18">
        <v>108</v>
      </c>
      <c r="DF2" s="18">
        <v>109</v>
      </c>
      <c r="DG2" s="18">
        <v>110</v>
      </c>
      <c r="DH2" s="18">
        <v>111</v>
      </c>
      <c r="DI2" s="18">
        <v>112</v>
      </c>
      <c r="DJ2" s="18">
        <v>113</v>
      </c>
      <c r="DK2" s="18">
        <v>114</v>
      </c>
      <c r="DL2" s="18">
        <v>115</v>
      </c>
      <c r="DM2" s="18">
        <v>116</v>
      </c>
      <c r="DN2" s="18">
        <v>117</v>
      </c>
      <c r="DO2" s="18">
        <v>118</v>
      </c>
      <c r="DP2" s="18">
        <v>119</v>
      </c>
      <c r="DQ2" s="18">
        <v>120</v>
      </c>
      <c r="DR2" s="18">
        <v>121</v>
      </c>
      <c r="DS2" s="18">
        <v>122</v>
      </c>
      <c r="DT2" s="18">
        <v>123</v>
      </c>
      <c r="DU2" s="18">
        <v>124</v>
      </c>
      <c r="DV2" s="18">
        <v>125</v>
      </c>
      <c r="DW2" s="18">
        <v>126</v>
      </c>
      <c r="DX2" s="18">
        <v>127</v>
      </c>
      <c r="DY2" s="18">
        <v>128</v>
      </c>
      <c r="DZ2" s="18">
        <v>129</v>
      </c>
      <c r="EA2" s="18">
        <v>130</v>
      </c>
      <c r="EB2" s="18">
        <v>131</v>
      </c>
      <c r="EC2" s="18">
        <v>132</v>
      </c>
      <c r="ED2" s="18">
        <v>133</v>
      </c>
      <c r="EE2" s="18">
        <v>134</v>
      </c>
      <c r="EF2" s="18">
        <v>135</v>
      </c>
      <c r="EG2" s="18">
        <v>136</v>
      </c>
      <c r="EH2" s="18">
        <v>137</v>
      </c>
      <c r="EI2" s="18">
        <v>138</v>
      </c>
      <c r="EJ2" s="18">
        <v>139</v>
      </c>
      <c r="EK2" s="18">
        <v>140</v>
      </c>
      <c r="EL2" s="18">
        <v>141</v>
      </c>
      <c r="EM2" s="18">
        <v>142</v>
      </c>
      <c r="EN2" s="18">
        <v>143</v>
      </c>
      <c r="EO2" s="18">
        <v>144</v>
      </c>
      <c r="EP2" s="18">
        <v>145</v>
      </c>
      <c r="EQ2" s="18">
        <v>146</v>
      </c>
      <c r="ER2" s="18">
        <v>147</v>
      </c>
      <c r="ES2" s="18">
        <v>148</v>
      </c>
      <c r="ET2" s="18">
        <v>149</v>
      </c>
      <c r="EU2" s="18">
        <v>150</v>
      </c>
      <c r="EV2" s="18">
        <v>151</v>
      </c>
      <c r="EW2" s="18">
        <v>152</v>
      </c>
      <c r="EX2" s="18">
        <v>153</v>
      </c>
      <c r="EY2" s="18">
        <v>154</v>
      </c>
      <c r="EZ2" s="18">
        <v>155</v>
      </c>
      <c r="FA2" s="18">
        <v>156</v>
      </c>
      <c r="FB2" s="18">
        <v>157</v>
      </c>
      <c r="FC2" s="18">
        <v>158</v>
      </c>
      <c r="FD2" s="18">
        <v>159</v>
      </c>
      <c r="FE2" s="18">
        <v>160</v>
      </c>
      <c r="FF2" s="18">
        <v>161</v>
      </c>
      <c r="FG2" s="18">
        <v>162</v>
      </c>
      <c r="FH2" s="18">
        <v>163</v>
      </c>
      <c r="FI2" s="18">
        <v>164</v>
      </c>
      <c r="FJ2" s="18">
        <v>165</v>
      </c>
      <c r="FK2" s="18">
        <v>166</v>
      </c>
      <c r="FL2" s="18">
        <v>167</v>
      </c>
      <c r="FM2" s="18">
        <v>168</v>
      </c>
      <c r="FN2" s="18">
        <v>169</v>
      </c>
      <c r="FO2" s="18">
        <v>170</v>
      </c>
      <c r="FP2" s="18">
        <v>171</v>
      </c>
      <c r="FQ2" s="18">
        <v>172</v>
      </c>
      <c r="FR2" s="18">
        <v>173</v>
      </c>
      <c r="FS2" s="18">
        <v>174</v>
      </c>
      <c r="FT2" s="18">
        <v>175</v>
      </c>
      <c r="FU2" s="18">
        <v>176</v>
      </c>
      <c r="FV2" s="18">
        <v>177</v>
      </c>
      <c r="FW2" s="18">
        <v>178</v>
      </c>
      <c r="FX2" s="18">
        <v>179</v>
      </c>
      <c r="FY2" s="18">
        <v>180</v>
      </c>
      <c r="FZ2" s="18">
        <v>181</v>
      </c>
      <c r="GA2" s="18">
        <v>182</v>
      </c>
      <c r="GB2" s="18">
        <v>183</v>
      </c>
      <c r="GC2" s="18">
        <v>184</v>
      </c>
      <c r="GD2" s="18">
        <v>185</v>
      </c>
      <c r="GE2" s="18">
        <v>186</v>
      </c>
      <c r="GF2" s="18">
        <v>187</v>
      </c>
      <c r="GG2" s="18">
        <v>188</v>
      </c>
      <c r="GH2" s="18">
        <v>189</v>
      </c>
      <c r="GI2" s="18">
        <v>190</v>
      </c>
      <c r="GJ2" s="18">
        <v>191</v>
      </c>
      <c r="GK2" s="18">
        <v>192</v>
      </c>
      <c r="GL2" s="18">
        <v>193</v>
      </c>
      <c r="GM2" s="18">
        <v>194</v>
      </c>
      <c r="GN2" s="18">
        <v>195</v>
      </c>
      <c r="GO2" s="18">
        <v>196</v>
      </c>
      <c r="GP2" s="18">
        <v>197</v>
      </c>
      <c r="GQ2" s="18">
        <v>198</v>
      </c>
      <c r="GR2" s="18">
        <v>199</v>
      </c>
      <c r="GS2" s="18">
        <v>200</v>
      </c>
      <c r="GT2" s="18">
        <v>201</v>
      </c>
      <c r="GU2" s="18">
        <v>202</v>
      </c>
      <c r="GV2" s="18">
        <v>203</v>
      </c>
      <c r="GW2" s="18">
        <v>204</v>
      </c>
      <c r="GX2" s="18">
        <v>205</v>
      </c>
      <c r="GY2" s="18">
        <v>206</v>
      </c>
      <c r="GZ2" s="18">
        <v>207</v>
      </c>
      <c r="HA2" s="18">
        <v>208</v>
      </c>
      <c r="HB2" s="18">
        <v>209</v>
      </c>
      <c r="HC2" s="18">
        <v>210</v>
      </c>
      <c r="HD2" s="18">
        <v>211</v>
      </c>
      <c r="HE2" s="18">
        <v>212</v>
      </c>
      <c r="HF2" s="18">
        <v>213</v>
      </c>
      <c r="HG2" s="18">
        <v>214</v>
      </c>
      <c r="HH2" s="18">
        <v>215</v>
      </c>
      <c r="HI2" s="18">
        <v>216</v>
      </c>
      <c r="HJ2" s="18">
        <v>217</v>
      </c>
      <c r="HK2" s="18">
        <v>218</v>
      </c>
      <c r="HL2" s="18">
        <v>219</v>
      </c>
      <c r="HM2" s="18">
        <v>220</v>
      </c>
      <c r="HN2" s="18">
        <v>221</v>
      </c>
      <c r="HO2" s="18">
        <v>222</v>
      </c>
      <c r="HP2" s="18">
        <v>223</v>
      </c>
      <c r="HQ2" s="18">
        <v>224</v>
      </c>
      <c r="HR2" s="18">
        <v>225</v>
      </c>
      <c r="HS2" s="18">
        <v>226</v>
      </c>
      <c r="HT2" s="18">
        <v>227</v>
      </c>
      <c r="HU2" s="18">
        <v>228</v>
      </c>
      <c r="HV2" s="18">
        <v>229</v>
      </c>
      <c r="HW2" s="18">
        <v>230</v>
      </c>
      <c r="HX2" s="18">
        <v>231</v>
      </c>
      <c r="HY2" s="18">
        <v>232</v>
      </c>
      <c r="HZ2" s="18">
        <v>233</v>
      </c>
      <c r="IA2" s="18">
        <v>234</v>
      </c>
      <c r="IB2" s="18">
        <v>235</v>
      </c>
      <c r="IC2" s="18">
        <v>236</v>
      </c>
      <c r="ID2" s="18">
        <v>237</v>
      </c>
      <c r="IE2" s="18">
        <v>238</v>
      </c>
      <c r="IF2" s="18">
        <v>239</v>
      </c>
      <c r="IG2" s="18">
        <v>240</v>
      </c>
      <c r="IH2" s="18">
        <v>241</v>
      </c>
      <c r="II2" s="18">
        <v>242</v>
      </c>
      <c r="IJ2" s="18">
        <v>243</v>
      </c>
      <c r="IK2" s="18">
        <v>244</v>
      </c>
      <c r="IL2" s="18">
        <v>245</v>
      </c>
      <c r="IM2" s="18">
        <v>246</v>
      </c>
      <c r="IN2" s="18">
        <v>247</v>
      </c>
      <c r="IO2" s="18">
        <v>248</v>
      </c>
      <c r="IP2" s="18">
        <v>249</v>
      </c>
      <c r="IQ2" s="18">
        <v>250</v>
      </c>
      <c r="IR2" s="18">
        <v>251</v>
      </c>
      <c r="IS2" s="18">
        <v>252</v>
      </c>
      <c r="IT2" s="18">
        <v>253</v>
      </c>
      <c r="IU2" s="18">
        <v>254</v>
      </c>
      <c r="IV2" s="18">
        <v>255</v>
      </c>
      <c r="IW2" s="18">
        <v>256</v>
      </c>
      <c r="IX2" s="18">
        <v>257</v>
      </c>
      <c r="IY2" s="18">
        <v>258</v>
      </c>
      <c r="IZ2" s="18">
        <v>259</v>
      </c>
      <c r="JA2" s="18">
        <v>260</v>
      </c>
      <c r="JB2" s="18">
        <v>261</v>
      </c>
      <c r="JC2" s="18">
        <v>262</v>
      </c>
      <c r="JD2" s="18">
        <v>263</v>
      </c>
      <c r="JE2" s="18">
        <v>264</v>
      </c>
      <c r="JF2" s="18">
        <v>265</v>
      </c>
      <c r="JG2" s="18">
        <v>266</v>
      </c>
      <c r="JH2" s="18">
        <v>267</v>
      </c>
      <c r="JI2" s="18">
        <v>268</v>
      </c>
      <c r="JJ2" s="18">
        <v>269</v>
      </c>
      <c r="JK2" s="18">
        <v>270</v>
      </c>
      <c r="JL2" s="18">
        <v>271</v>
      </c>
      <c r="JM2" s="18">
        <v>272</v>
      </c>
      <c r="JN2" s="18">
        <v>273</v>
      </c>
      <c r="JO2" s="18">
        <v>274</v>
      </c>
      <c r="JP2" s="18">
        <v>275</v>
      </c>
      <c r="JQ2" s="18">
        <v>276</v>
      </c>
      <c r="JR2" s="18">
        <v>277</v>
      </c>
      <c r="JS2" s="18">
        <v>278</v>
      </c>
      <c r="JT2" s="18">
        <v>279</v>
      </c>
      <c r="JU2" s="18">
        <v>280</v>
      </c>
      <c r="JV2" s="18">
        <v>281</v>
      </c>
      <c r="JW2" s="18">
        <v>282</v>
      </c>
      <c r="JX2" s="18">
        <v>283</v>
      </c>
      <c r="JY2" s="18">
        <v>284</v>
      </c>
      <c r="JZ2" s="18">
        <v>285</v>
      </c>
      <c r="KA2" s="18">
        <v>286</v>
      </c>
      <c r="KB2" s="18">
        <v>287</v>
      </c>
      <c r="KC2" s="18">
        <v>288</v>
      </c>
      <c r="KD2" s="18">
        <v>289</v>
      </c>
      <c r="KE2" s="18">
        <v>290</v>
      </c>
      <c r="KF2" s="18">
        <v>291</v>
      </c>
      <c r="KG2" s="18">
        <v>292</v>
      </c>
      <c r="KH2" s="18">
        <v>293</v>
      </c>
      <c r="KI2" s="18">
        <v>294</v>
      </c>
      <c r="KJ2" s="18">
        <v>295</v>
      </c>
      <c r="KK2" s="18">
        <v>296</v>
      </c>
      <c r="KL2" s="18">
        <v>297</v>
      </c>
      <c r="KM2" s="18">
        <v>298</v>
      </c>
      <c r="KN2" s="18">
        <v>299</v>
      </c>
      <c r="KO2" s="18">
        <v>300</v>
      </c>
      <c r="KP2" s="18">
        <v>301</v>
      </c>
      <c r="KQ2" s="18">
        <v>302</v>
      </c>
      <c r="KR2" s="18">
        <v>303</v>
      </c>
      <c r="KS2" s="18">
        <v>304</v>
      </c>
      <c r="KT2" s="18">
        <v>305</v>
      </c>
      <c r="KU2" s="18">
        <v>306</v>
      </c>
      <c r="KV2" s="18">
        <v>307</v>
      </c>
      <c r="KW2" s="18">
        <v>308</v>
      </c>
      <c r="KX2" s="18">
        <v>309</v>
      </c>
      <c r="KY2" s="18">
        <v>310</v>
      </c>
      <c r="KZ2" s="18">
        <v>311</v>
      </c>
      <c r="LA2" s="18">
        <v>312</v>
      </c>
      <c r="LB2" s="18">
        <v>313</v>
      </c>
      <c r="LC2" s="18">
        <v>314</v>
      </c>
      <c r="LD2" s="18">
        <v>315</v>
      </c>
      <c r="LE2" s="18">
        <v>316</v>
      </c>
      <c r="LF2" s="18">
        <v>317</v>
      </c>
      <c r="LG2" s="18">
        <v>318</v>
      </c>
      <c r="LH2" s="18">
        <v>319</v>
      </c>
      <c r="LI2" s="18">
        <v>320</v>
      </c>
      <c r="LJ2" s="18">
        <v>321</v>
      </c>
      <c r="LK2" s="18">
        <v>322</v>
      </c>
      <c r="LL2" s="18">
        <v>323</v>
      </c>
      <c r="LM2" s="18">
        <v>324</v>
      </c>
      <c r="LN2" s="18">
        <v>325</v>
      </c>
      <c r="LO2" s="18">
        <v>326</v>
      </c>
      <c r="LP2" s="18">
        <v>327</v>
      </c>
      <c r="LQ2" s="18">
        <v>328</v>
      </c>
      <c r="LR2" s="18">
        <v>329</v>
      </c>
      <c r="LS2" s="18">
        <v>330</v>
      </c>
      <c r="LT2" s="18">
        <v>331</v>
      </c>
      <c r="LU2" s="18">
        <v>332</v>
      </c>
      <c r="LV2" s="18">
        <v>333</v>
      </c>
      <c r="LW2" s="18">
        <v>334</v>
      </c>
      <c r="LX2" s="18">
        <v>335</v>
      </c>
      <c r="LY2" s="18">
        <v>336</v>
      </c>
      <c r="LZ2" s="18">
        <v>337</v>
      </c>
      <c r="MA2" s="18">
        <v>338</v>
      </c>
      <c r="MB2" s="18">
        <v>339</v>
      </c>
      <c r="MC2" s="18">
        <v>340</v>
      </c>
      <c r="MD2" s="18">
        <v>341</v>
      </c>
      <c r="ME2" s="18">
        <v>342</v>
      </c>
      <c r="MF2" s="18">
        <v>343</v>
      </c>
      <c r="MG2" s="18">
        <v>344</v>
      </c>
      <c r="MH2" s="18">
        <v>345</v>
      </c>
      <c r="MI2" s="18">
        <v>346</v>
      </c>
      <c r="MJ2" s="18">
        <v>347</v>
      </c>
      <c r="MK2" s="18">
        <v>348</v>
      </c>
      <c r="ML2" s="18">
        <v>349</v>
      </c>
      <c r="MM2" s="18">
        <v>350</v>
      </c>
      <c r="MN2" s="18">
        <v>351</v>
      </c>
      <c r="MO2" s="18">
        <v>352</v>
      </c>
      <c r="MP2" s="18">
        <v>353</v>
      </c>
      <c r="MQ2" s="18">
        <v>354</v>
      </c>
      <c r="MR2" s="18">
        <v>355</v>
      </c>
      <c r="MS2" s="18">
        <v>356</v>
      </c>
      <c r="MT2" s="18">
        <v>357</v>
      </c>
      <c r="MU2" s="18">
        <v>358</v>
      </c>
      <c r="MV2" s="18">
        <v>359</v>
      </c>
      <c r="MW2" s="18">
        <v>360</v>
      </c>
      <c r="MX2" s="18">
        <v>361</v>
      </c>
      <c r="MY2" s="18">
        <v>362</v>
      </c>
      <c r="MZ2" s="18">
        <v>363</v>
      </c>
      <c r="NA2" s="18">
        <v>364</v>
      </c>
      <c r="NB2" s="18">
        <v>365</v>
      </c>
      <c r="NC2" s="18">
        <v>366</v>
      </c>
      <c r="ND2" s="18">
        <v>367</v>
      </c>
      <c r="NE2" s="18">
        <v>368</v>
      </c>
      <c r="NF2" s="18">
        <v>369</v>
      </c>
      <c r="NG2" s="18">
        <v>370</v>
      </c>
      <c r="NH2" s="18">
        <v>371</v>
      </c>
      <c r="NI2" s="18">
        <v>372</v>
      </c>
      <c r="NJ2" s="18">
        <v>373</v>
      </c>
      <c r="NK2" s="18">
        <v>374</v>
      </c>
      <c r="NL2" s="18">
        <v>375</v>
      </c>
      <c r="NM2" s="18">
        <v>376</v>
      </c>
      <c r="NN2" s="18">
        <v>377</v>
      </c>
      <c r="NO2" s="18">
        <v>378</v>
      </c>
      <c r="NP2" s="18">
        <v>379</v>
      </c>
      <c r="NQ2" s="18">
        <v>380</v>
      </c>
      <c r="NR2" s="18">
        <v>381</v>
      </c>
      <c r="NS2" s="18">
        <v>382</v>
      </c>
      <c r="NT2" s="18">
        <v>383</v>
      </c>
      <c r="NU2" s="18">
        <v>384</v>
      </c>
      <c r="NV2" s="18">
        <v>385</v>
      </c>
      <c r="NW2" s="18">
        <v>386</v>
      </c>
      <c r="NX2" s="18">
        <v>387</v>
      </c>
      <c r="NY2" s="18">
        <v>388</v>
      </c>
      <c r="NZ2" s="18">
        <v>389</v>
      </c>
      <c r="OA2" s="18">
        <v>390</v>
      </c>
      <c r="OB2" s="18">
        <v>391</v>
      </c>
      <c r="OC2" s="18">
        <v>392</v>
      </c>
      <c r="OD2" s="18">
        <v>393</v>
      </c>
      <c r="OE2" s="18">
        <v>394</v>
      </c>
      <c r="OF2" s="18">
        <v>395</v>
      </c>
      <c r="OG2" s="18">
        <v>396</v>
      </c>
      <c r="OH2" s="18">
        <v>397</v>
      </c>
      <c r="OI2" s="18">
        <v>398</v>
      </c>
      <c r="OJ2" s="18">
        <v>399</v>
      </c>
      <c r="OK2" s="18">
        <v>400</v>
      </c>
      <c r="OL2" s="18">
        <v>401</v>
      </c>
      <c r="OM2" s="18">
        <v>402</v>
      </c>
      <c r="ON2" s="18">
        <v>403</v>
      </c>
      <c r="OO2" s="18">
        <v>404</v>
      </c>
      <c r="OP2" s="18">
        <v>405</v>
      </c>
      <c r="OQ2" s="18">
        <v>406</v>
      </c>
      <c r="OR2" s="18">
        <v>407</v>
      </c>
      <c r="OS2" s="18">
        <v>408</v>
      </c>
      <c r="OT2" s="18">
        <v>409</v>
      </c>
      <c r="OU2" s="18">
        <v>410</v>
      </c>
      <c r="OV2" s="18">
        <v>411</v>
      </c>
      <c r="OW2" s="18">
        <v>412</v>
      </c>
      <c r="OX2" s="18">
        <v>413</v>
      </c>
      <c r="OY2" s="18">
        <v>414</v>
      </c>
      <c r="OZ2" s="18">
        <v>415</v>
      </c>
      <c r="PA2" s="18">
        <v>416</v>
      </c>
      <c r="PB2" s="18">
        <v>417</v>
      </c>
      <c r="PC2" s="18">
        <v>418</v>
      </c>
      <c r="PD2" s="18">
        <v>419</v>
      </c>
      <c r="PE2" s="18">
        <v>420</v>
      </c>
      <c r="PF2" s="18">
        <v>421</v>
      </c>
      <c r="PG2" s="18">
        <v>422</v>
      </c>
      <c r="PH2" s="18">
        <v>423</v>
      </c>
      <c r="PI2" s="18">
        <v>424</v>
      </c>
      <c r="PJ2" s="18">
        <v>425</v>
      </c>
      <c r="PK2" s="18">
        <v>426</v>
      </c>
      <c r="PL2" s="18">
        <v>427</v>
      </c>
      <c r="PM2" s="18">
        <v>428</v>
      </c>
      <c r="PN2" s="18">
        <v>429</v>
      </c>
      <c r="PO2" s="18">
        <v>430</v>
      </c>
      <c r="PP2" s="18">
        <v>431</v>
      </c>
      <c r="PQ2" s="18">
        <v>432</v>
      </c>
      <c r="PR2" s="18">
        <v>433</v>
      </c>
      <c r="PS2" s="18">
        <v>434</v>
      </c>
      <c r="PT2" s="18">
        <v>435</v>
      </c>
      <c r="PU2" s="18">
        <v>436</v>
      </c>
      <c r="PV2" s="18">
        <v>437</v>
      </c>
      <c r="PW2" s="18">
        <v>438</v>
      </c>
      <c r="PX2" s="18">
        <v>439</v>
      </c>
      <c r="PY2" s="18">
        <v>440</v>
      </c>
      <c r="PZ2" s="18">
        <v>441</v>
      </c>
      <c r="QA2" s="18">
        <v>442</v>
      </c>
      <c r="QB2" s="18">
        <v>443</v>
      </c>
      <c r="QC2" s="18">
        <v>444</v>
      </c>
      <c r="QD2" s="18">
        <v>445</v>
      </c>
      <c r="QE2" s="18">
        <v>446</v>
      </c>
      <c r="QF2" s="18">
        <v>447</v>
      </c>
      <c r="QG2" s="18">
        <v>448</v>
      </c>
      <c r="QH2" s="18">
        <v>449</v>
      </c>
      <c r="QI2" s="18">
        <v>450</v>
      </c>
      <c r="QJ2" s="18">
        <v>451</v>
      </c>
      <c r="QK2" s="18">
        <v>452</v>
      </c>
      <c r="QL2" s="18">
        <v>453</v>
      </c>
      <c r="QM2" s="18">
        <v>454</v>
      </c>
      <c r="QN2" s="18">
        <v>455</v>
      </c>
      <c r="QO2" s="18">
        <v>456</v>
      </c>
      <c r="QP2" s="18">
        <v>457</v>
      </c>
      <c r="QQ2" s="18">
        <v>458</v>
      </c>
      <c r="QR2" s="18">
        <v>459</v>
      </c>
      <c r="QS2" s="18">
        <v>460</v>
      </c>
      <c r="QT2" s="18">
        <v>461</v>
      </c>
      <c r="QU2" s="18">
        <v>462</v>
      </c>
      <c r="QV2" s="18">
        <v>463</v>
      </c>
      <c r="QW2" s="18">
        <v>464</v>
      </c>
      <c r="QX2" s="18">
        <v>465</v>
      </c>
      <c r="QY2" s="18">
        <v>466</v>
      </c>
      <c r="QZ2" s="18">
        <v>467</v>
      </c>
      <c r="RA2" s="18">
        <v>468</v>
      </c>
      <c r="RB2" s="18">
        <v>469</v>
      </c>
      <c r="RC2" s="18">
        <v>470</v>
      </c>
      <c r="RD2" s="18">
        <v>471</v>
      </c>
      <c r="RE2" s="18">
        <v>472</v>
      </c>
      <c r="RF2" s="18">
        <v>473</v>
      </c>
      <c r="RG2" s="18">
        <v>474</v>
      </c>
      <c r="RH2" s="18">
        <v>475</v>
      </c>
      <c r="RI2" s="18">
        <v>476</v>
      </c>
      <c r="RJ2" s="18">
        <v>477</v>
      </c>
      <c r="RK2" s="18">
        <v>478</v>
      </c>
      <c r="RL2" s="18">
        <v>479</v>
      </c>
      <c r="RM2" s="18">
        <v>480</v>
      </c>
      <c r="RN2" s="18">
        <v>481</v>
      </c>
      <c r="RO2" s="18">
        <v>482</v>
      </c>
      <c r="RP2" s="18">
        <v>483</v>
      </c>
      <c r="RQ2" s="18">
        <v>484</v>
      </c>
      <c r="RR2" s="18">
        <v>485</v>
      </c>
      <c r="RS2" s="18">
        <v>486</v>
      </c>
      <c r="RT2" s="18">
        <v>487</v>
      </c>
      <c r="RU2" s="18">
        <v>488</v>
      </c>
      <c r="RV2" s="18">
        <v>489</v>
      </c>
      <c r="RW2" s="18">
        <v>490</v>
      </c>
      <c r="RX2" s="18">
        <v>491</v>
      </c>
      <c r="RY2" s="18">
        <v>492</v>
      </c>
      <c r="RZ2" s="18">
        <v>493</v>
      </c>
      <c r="SA2" s="18">
        <v>494</v>
      </c>
      <c r="SB2" s="18">
        <v>495</v>
      </c>
      <c r="SC2" s="18">
        <v>496</v>
      </c>
      <c r="SD2" s="18">
        <v>497</v>
      </c>
      <c r="SE2" s="18">
        <v>498</v>
      </c>
      <c r="SF2" s="18">
        <v>499</v>
      </c>
      <c r="SG2" s="18">
        <v>500</v>
      </c>
      <c r="SH2" s="18">
        <v>501</v>
      </c>
      <c r="SI2" s="18">
        <v>502</v>
      </c>
      <c r="SJ2" s="18">
        <v>503</v>
      </c>
      <c r="SK2" s="18">
        <v>504</v>
      </c>
      <c r="SL2" s="18">
        <v>505</v>
      </c>
      <c r="SM2" s="18">
        <v>506</v>
      </c>
      <c r="SN2" s="18">
        <v>507</v>
      </c>
      <c r="SO2" s="18">
        <v>508</v>
      </c>
      <c r="SP2" s="18">
        <v>509</v>
      </c>
      <c r="SQ2" s="18">
        <v>510</v>
      </c>
      <c r="SR2" s="18">
        <v>511</v>
      </c>
      <c r="SS2" s="18">
        <v>512</v>
      </c>
      <c r="ST2" s="18">
        <v>513</v>
      </c>
      <c r="SU2" s="18">
        <v>514</v>
      </c>
      <c r="SV2" s="18">
        <v>515</v>
      </c>
      <c r="SW2" s="18">
        <v>516</v>
      </c>
      <c r="SX2" s="18">
        <v>517</v>
      </c>
      <c r="SY2" s="18">
        <v>518</v>
      </c>
      <c r="SZ2" s="18">
        <v>519</v>
      </c>
      <c r="TA2" s="18">
        <v>520</v>
      </c>
      <c r="TB2" s="18">
        <v>521</v>
      </c>
      <c r="TC2" s="18">
        <v>522</v>
      </c>
      <c r="TD2" s="18">
        <v>523</v>
      </c>
      <c r="TE2" s="18">
        <v>524</v>
      </c>
      <c r="TF2" s="18">
        <v>525</v>
      </c>
      <c r="TG2" s="18">
        <v>526</v>
      </c>
      <c r="TH2" s="18">
        <v>527</v>
      </c>
      <c r="TI2" s="18">
        <v>528</v>
      </c>
      <c r="TJ2" s="18">
        <v>529</v>
      </c>
      <c r="TK2" s="18">
        <v>530</v>
      </c>
      <c r="TL2" s="18">
        <v>531</v>
      </c>
      <c r="TM2" s="18">
        <v>532</v>
      </c>
      <c r="TN2" s="18">
        <v>533</v>
      </c>
      <c r="TO2" s="18">
        <v>534</v>
      </c>
      <c r="TP2" s="18">
        <v>535</v>
      </c>
      <c r="TQ2" s="18">
        <v>536</v>
      </c>
      <c r="TR2" s="18">
        <v>537</v>
      </c>
      <c r="TS2" s="18">
        <v>538</v>
      </c>
      <c r="TT2" s="18">
        <v>539</v>
      </c>
      <c r="TU2" s="18">
        <v>540</v>
      </c>
      <c r="TV2" s="18">
        <v>541</v>
      </c>
      <c r="TW2" s="18">
        <v>542</v>
      </c>
      <c r="TX2" s="18">
        <v>543</v>
      </c>
      <c r="TY2" s="18">
        <v>544</v>
      </c>
      <c r="TZ2" s="18">
        <v>545</v>
      </c>
      <c r="UA2" s="18">
        <v>546</v>
      </c>
      <c r="UB2" s="18">
        <v>547</v>
      </c>
      <c r="UC2" s="18">
        <v>548</v>
      </c>
      <c r="UD2" s="18">
        <v>549</v>
      </c>
      <c r="UE2" s="18">
        <v>550</v>
      </c>
      <c r="UF2" s="18">
        <v>551</v>
      </c>
      <c r="UG2" s="18">
        <v>552</v>
      </c>
      <c r="UH2" s="18">
        <v>553</v>
      </c>
      <c r="UI2" s="18">
        <v>554</v>
      </c>
      <c r="UJ2" s="18">
        <v>555</v>
      </c>
      <c r="UK2" s="18">
        <v>556</v>
      </c>
      <c r="UL2" s="18">
        <v>557</v>
      </c>
      <c r="UM2" s="18">
        <v>558</v>
      </c>
      <c r="UN2" s="18">
        <v>559</v>
      </c>
      <c r="UO2" s="18">
        <v>560</v>
      </c>
      <c r="UP2" s="18">
        <v>561</v>
      </c>
      <c r="UQ2" s="18">
        <v>562</v>
      </c>
      <c r="UR2" s="18">
        <v>563</v>
      </c>
      <c r="US2" s="18">
        <v>564</v>
      </c>
      <c r="UT2" s="18">
        <v>565</v>
      </c>
      <c r="UU2" s="18">
        <v>566</v>
      </c>
      <c r="UV2" s="18">
        <v>567</v>
      </c>
      <c r="UW2" s="18">
        <v>568</v>
      </c>
      <c r="UX2" s="18">
        <v>569</v>
      </c>
      <c r="UY2" s="18">
        <v>570</v>
      </c>
      <c r="UZ2" s="18">
        <v>571</v>
      </c>
      <c r="VA2" s="18">
        <v>572</v>
      </c>
      <c r="VB2" s="18">
        <v>573</v>
      </c>
      <c r="VC2" s="18">
        <v>574</v>
      </c>
      <c r="VD2" s="18">
        <v>575</v>
      </c>
      <c r="VE2" s="18">
        <v>576</v>
      </c>
      <c r="VF2" s="18">
        <v>577</v>
      </c>
      <c r="VG2" s="18">
        <v>578</v>
      </c>
      <c r="VH2" s="18">
        <v>579</v>
      </c>
      <c r="VI2" s="18">
        <v>580</v>
      </c>
      <c r="VJ2" s="18">
        <v>581</v>
      </c>
      <c r="VK2" s="18">
        <v>582</v>
      </c>
      <c r="VL2" s="18">
        <v>583</v>
      </c>
      <c r="VM2" s="18">
        <v>584</v>
      </c>
      <c r="VN2" s="18">
        <v>585</v>
      </c>
      <c r="VO2" s="18">
        <v>586</v>
      </c>
      <c r="VP2" s="18">
        <v>587</v>
      </c>
      <c r="VQ2" s="18">
        <v>588</v>
      </c>
      <c r="VR2" s="18">
        <v>589</v>
      </c>
      <c r="VS2" s="18">
        <v>590</v>
      </c>
      <c r="VT2" s="18">
        <v>591</v>
      </c>
      <c r="VU2" s="18">
        <v>592</v>
      </c>
      <c r="VV2" s="18">
        <v>593</v>
      </c>
      <c r="VW2" s="18">
        <v>594</v>
      </c>
      <c r="VX2" s="18">
        <v>595</v>
      </c>
      <c r="VY2" s="18">
        <v>596</v>
      </c>
      <c r="VZ2" s="18">
        <v>597</v>
      </c>
      <c r="WA2" s="18">
        <v>598</v>
      </c>
      <c r="WB2" s="18">
        <v>599</v>
      </c>
      <c r="WC2" s="18">
        <v>600</v>
      </c>
      <c r="WD2" s="18">
        <v>601</v>
      </c>
      <c r="WE2" s="18">
        <v>602</v>
      </c>
      <c r="WF2" s="18">
        <v>603</v>
      </c>
      <c r="WG2" s="18">
        <v>604</v>
      </c>
      <c r="WH2" s="18">
        <v>605</v>
      </c>
      <c r="WI2" s="18">
        <v>606</v>
      </c>
      <c r="WJ2" s="18">
        <v>607</v>
      </c>
      <c r="WK2" s="18">
        <v>608</v>
      </c>
      <c r="WL2" s="18">
        <v>609</v>
      </c>
      <c r="WM2" s="18">
        <v>610</v>
      </c>
      <c r="WN2" s="18">
        <v>611</v>
      </c>
      <c r="WO2" s="18">
        <v>612</v>
      </c>
      <c r="WP2" s="18">
        <v>613</v>
      </c>
      <c r="WQ2" s="18">
        <v>614</v>
      </c>
      <c r="WR2" s="18">
        <v>615</v>
      </c>
      <c r="WS2" s="18">
        <v>616</v>
      </c>
      <c r="WT2" s="18">
        <v>617</v>
      </c>
      <c r="WU2" s="18">
        <v>618</v>
      </c>
      <c r="WV2" s="18">
        <v>619</v>
      </c>
      <c r="WW2" s="18">
        <v>620</v>
      </c>
      <c r="WX2" s="18">
        <v>621</v>
      </c>
      <c r="WY2" s="18">
        <v>622</v>
      </c>
      <c r="WZ2" s="18">
        <v>623</v>
      </c>
      <c r="XA2" s="18">
        <v>624</v>
      </c>
      <c r="XB2" s="18">
        <v>625</v>
      </c>
      <c r="XC2" s="18">
        <v>626</v>
      </c>
      <c r="XD2" s="18">
        <v>627</v>
      </c>
      <c r="XE2" s="18">
        <v>628</v>
      </c>
      <c r="XF2" s="18">
        <v>629</v>
      </c>
      <c r="XG2" s="18">
        <v>630</v>
      </c>
      <c r="XH2" s="18">
        <v>631</v>
      </c>
      <c r="XI2" s="18">
        <v>632</v>
      </c>
      <c r="XJ2" s="18">
        <v>633</v>
      </c>
      <c r="XK2" s="18">
        <v>634</v>
      </c>
      <c r="XL2" s="18">
        <v>635</v>
      </c>
      <c r="XM2" s="18">
        <v>636</v>
      </c>
      <c r="XN2" s="18">
        <v>637</v>
      </c>
      <c r="XO2" s="18">
        <v>638</v>
      </c>
      <c r="XP2" s="18">
        <v>639</v>
      </c>
      <c r="XQ2" s="18">
        <v>640</v>
      </c>
      <c r="XR2" s="18">
        <v>641</v>
      </c>
      <c r="XS2" s="18">
        <v>642</v>
      </c>
      <c r="XT2" s="18">
        <v>643</v>
      </c>
      <c r="XU2" s="18">
        <v>644</v>
      </c>
      <c r="XV2" s="18">
        <v>645</v>
      </c>
      <c r="XW2" s="18">
        <v>646</v>
      </c>
      <c r="XX2" s="18">
        <v>647</v>
      </c>
      <c r="XY2" s="18">
        <v>648</v>
      </c>
      <c r="XZ2" s="18">
        <v>649</v>
      </c>
      <c r="YA2" s="18">
        <v>650</v>
      </c>
      <c r="YB2" s="18">
        <v>651</v>
      </c>
      <c r="YC2" s="18">
        <v>652</v>
      </c>
      <c r="YD2" s="18">
        <v>653</v>
      </c>
      <c r="YE2" s="18">
        <v>654</v>
      </c>
      <c r="YF2" s="18">
        <v>655</v>
      </c>
      <c r="YG2" s="18">
        <v>656</v>
      </c>
      <c r="YH2" s="18">
        <v>657</v>
      </c>
      <c r="YI2" s="18">
        <v>658</v>
      </c>
      <c r="YJ2" s="18">
        <v>659</v>
      </c>
      <c r="YK2" s="18">
        <v>660</v>
      </c>
      <c r="YL2" s="18">
        <v>661</v>
      </c>
      <c r="YM2" s="18">
        <v>662</v>
      </c>
      <c r="YN2" s="18">
        <v>663</v>
      </c>
      <c r="YO2" s="18">
        <v>664</v>
      </c>
      <c r="YP2" s="18">
        <v>665</v>
      </c>
      <c r="YQ2" s="18">
        <v>666</v>
      </c>
      <c r="YR2" s="18">
        <v>667</v>
      </c>
      <c r="YS2" s="18">
        <v>668</v>
      </c>
      <c r="YT2" s="18">
        <v>669</v>
      </c>
      <c r="YU2" s="18">
        <v>670</v>
      </c>
      <c r="YV2" s="18">
        <v>671</v>
      </c>
      <c r="YW2" s="18">
        <v>672</v>
      </c>
      <c r="YX2" s="18">
        <v>673</v>
      </c>
      <c r="YY2" s="18">
        <v>674</v>
      </c>
      <c r="YZ2" s="18">
        <v>675</v>
      </c>
      <c r="ZA2" s="18">
        <v>676</v>
      </c>
      <c r="ZB2" s="18">
        <v>677</v>
      </c>
      <c r="ZC2" s="18">
        <v>678</v>
      </c>
      <c r="ZD2" s="18">
        <v>679</v>
      </c>
      <c r="ZE2" s="18">
        <v>680</v>
      </c>
      <c r="ZF2" s="18">
        <v>681</v>
      </c>
      <c r="ZG2" s="18">
        <v>682</v>
      </c>
      <c r="ZH2" s="18">
        <v>683</v>
      </c>
      <c r="ZI2" s="18">
        <v>684</v>
      </c>
      <c r="ZJ2" s="18">
        <v>685</v>
      </c>
      <c r="ZK2" s="18">
        <v>686</v>
      </c>
      <c r="ZL2" s="18">
        <v>687</v>
      </c>
      <c r="ZM2" s="18">
        <v>688</v>
      </c>
      <c r="ZN2" s="18">
        <v>689</v>
      </c>
      <c r="ZO2" s="18">
        <v>690</v>
      </c>
      <c r="ZP2" s="18">
        <v>691</v>
      </c>
      <c r="ZQ2" s="18">
        <v>692</v>
      </c>
      <c r="ZR2" s="18">
        <v>693</v>
      </c>
      <c r="ZS2" s="18">
        <v>694</v>
      </c>
      <c r="ZT2" s="18">
        <v>695</v>
      </c>
      <c r="ZU2" s="18">
        <v>696</v>
      </c>
      <c r="ZV2" s="18">
        <v>697</v>
      </c>
      <c r="ZW2" s="18">
        <v>698</v>
      </c>
      <c r="ZX2" s="18">
        <v>699</v>
      </c>
      <c r="ZY2" s="18">
        <v>700</v>
      </c>
      <c r="ZZ2" s="18">
        <v>701</v>
      </c>
      <c r="AAA2" s="18">
        <v>702</v>
      </c>
      <c r="AAB2" s="18">
        <v>703</v>
      </c>
      <c r="AAC2" s="18">
        <v>704</v>
      </c>
      <c r="AAD2" s="18">
        <v>705</v>
      </c>
      <c r="AAE2" s="18">
        <v>706</v>
      </c>
      <c r="AAF2" s="18">
        <v>707</v>
      </c>
      <c r="AAG2" s="18">
        <v>708</v>
      </c>
      <c r="AAH2" s="18">
        <v>709</v>
      </c>
      <c r="AAI2" s="18">
        <v>710</v>
      </c>
      <c r="AAJ2" s="18">
        <v>711</v>
      </c>
      <c r="AAK2" s="18">
        <v>712</v>
      </c>
      <c r="AAL2" s="18">
        <v>713</v>
      </c>
      <c r="AAM2" s="18">
        <v>714</v>
      </c>
      <c r="AAN2" s="18">
        <v>715</v>
      </c>
      <c r="AAO2" s="18">
        <v>716</v>
      </c>
      <c r="AAP2" s="18">
        <v>717</v>
      </c>
      <c r="AAQ2" s="18">
        <v>718</v>
      </c>
      <c r="AAR2" s="18">
        <v>719</v>
      </c>
      <c r="AAS2" s="18">
        <v>720</v>
      </c>
      <c r="AAT2" s="18">
        <v>721</v>
      </c>
      <c r="AAU2" s="18">
        <v>722</v>
      </c>
      <c r="AAV2" s="18">
        <v>723</v>
      </c>
      <c r="AAW2" s="18">
        <v>724</v>
      </c>
      <c r="AAX2" s="18">
        <v>725</v>
      </c>
      <c r="AAY2" s="18">
        <v>726</v>
      </c>
      <c r="AAZ2" s="18">
        <v>727</v>
      </c>
      <c r="ABA2" s="18">
        <v>728</v>
      </c>
      <c r="ABB2" s="18">
        <v>729</v>
      </c>
      <c r="ABC2" s="18">
        <v>730</v>
      </c>
      <c r="ABD2" s="18">
        <v>731</v>
      </c>
      <c r="ABE2" s="18">
        <v>732</v>
      </c>
      <c r="ABF2" s="18">
        <v>733</v>
      </c>
      <c r="ABG2" s="18">
        <v>734</v>
      </c>
      <c r="ABH2" s="18">
        <v>735</v>
      </c>
      <c r="ABI2" s="18">
        <v>736</v>
      </c>
      <c r="ABJ2" s="18">
        <v>737</v>
      </c>
      <c r="ABK2" s="18">
        <v>738</v>
      </c>
      <c r="ABL2" s="18">
        <v>739</v>
      </c>
      <c r="ABM2" s="18">
        <v>740</v>
      </c>
      <c r="ABN2" s="18">
        <v>741</v>
      </c>
      <c r="ABO2" s="18">
        <v>742</v>
      </c>
      <c r="ABP2" s="18">
        <v>743</v>
      </c>
      <c r="ABQ2" s="18">
        <v>744</v>
      </c>
      <c r="ABR2" s="18">
        <v>745</v>
      </c>
      <c r="ABS2" s="18">
        <v>746</v>
      </c>
      <c r="ABT2" s="18">
        <v>747</v>
      </c>
      <c r="ABU2" s="18">
        <v>748</v>
      </c>
      <c r="ABV2" s="18">
        <v>749</v>
      </c>
      <c r="ABW2" s="18">
        <v>750</v>
      </c>
      <c r="ABX2" s="18">
        <v>751</v>
      </c>
      <c r="ABY2" s="18">
        <v>752</v>
      </c>
      <c r="ABZ2" s="18">
        <v>753</v>
      </c>
      <c r="ACA2" s="18">
        <v>754</v>
      </c>
      <c r="ACB2" s="18">
        <v>755</v>
      </c>
      <c r="ACC2" s="18">
        <v>756</v>
      </c>
      <c r="ACD2" s="18">
        <v>757</v>
      </c>
      <c r="ACE2" s="18">
        <v>758</v>
      </c>
      <c r="ACF2" s="18">
        <v>759</v>
      </c>
      <c r="ACG2" s="18">
        <v>760</v>
      </c>
      <c r="ACH2" s="18">
        <v>761</v>
      </c>
      <c r="ACI2" s="18">
        <v>762</v>
      </c>
      <c r="ACJ2" s="18">
        <v>763</v>
      </c>
      <c r="ACK2" s="18">
        <v>764</v>
      </c>
      <c r="ACL2" s="18">
        <v>765</v>
      </c>
      <c r="ACM2" s="18">
        <v>766</v>
      </c>
      <c r="ACN2" s="18">
        <v>767</v>
      </c>
      <c r="ACO2" s="18">
        <v>768</v>
      </c>
      <c r="ACP2" s="18">
        <v>769</v>
      </c>
      <c r="ACQ2" s="18">
        <v>770</v>
      </c>
      <c r="ACR2" s="18">
        <v>771</v>
      </c>
      <c r="ACS2" s="18">
        <v>772</v>
      </c>
      <c r="ACT2" s="18">
        <v>773</v>
      </c>
      <c r="ACU2" s="18">
        <v>774</v>
      </c>
      <c r="ACV2" s="18">
        <v>775</v>
      </c>
      <c r="ACW2" s="18">
        <v>776</v>
      </c>
      <c r="ACX2" s="18">
        <v>777</v>
      </c>
      <c r="ACY2" s="18">
        <v>778</v>
      </c>
      <c r="ACZ2" s="18">
        <v>779</v>
      </c>
      <c r="ADA2" s="18">
        <v>780</v>
      </c>
      <c r="ADB2" s="18">
        <v>781</v>
      </c>
      <c r="ADC2" s="18">
        <v>782</v>
      </c>
      <c r="ADD2" s="18">
        <v>783</v>
      </c>
      <c r="ADE2" s="18">
        <v>784</v>
      </c>
      <c r="ADF2" s="18">
        <v>785</v>
      </c>
      <c r="ADG2" s="18">
        <v>786</v>
      </c>
      <c r="ADH2" s="18">
        <v>787</v>
      </c>
      <c r="ADI2" s="18">
        <v>788</v>
      </c>
      <c r="ADJ2" s="18">
        <v>789</v>
      </c>
      <c r="ADK2" s="18">
        <v>790</v>
      </c>
      <c r="ADL2" s="18">
        <v>791</v>
      </c>
      <c r="ADM2" s="18">
        <v>792</v>
      </c>
      <c r="ADN2" s="18">
        <v>793</v>
      </c>
      <c r="ADO2" s="18">
        <v>794</v>
      </c>
      <c r="ADP2" s="18">
        <v>795</v>
      </c>
      <c r="ADQ2" s="18">
        <v>796</v>
      </c>
      <c r="ADR2" s="18">
        <v>797</v>
      </c>
      <c r="ADS2" s="18">
        <v>798</v>
      </c>
      <c r="ADT2" s="18">
        <v>799</v>
      </c>
      <c r="ADU2" s="18">
        <v>800</v>
      </c>
      <c r="ADV2" s="18">
        <v>801</v>
      </c>
      <c r="ADW2" s="18">
        <v>802</v>
      </c>
      <c r="ADX2" s="18">
        <v>803</v>
      </c>
      <c r="ADY2" s="18">
        <v>804</v>
      </c>
      <c r="ADZ2" s="18">
        <v>805</v>
      </c>
      <c r="AEA2" s="18">
        <v>806</v>
      </c>
      <c r="AEB2" s="18">
        <v>807</v>
      </c>
      <c r="AEC2" s="18">
        <v>808</v>
      </c>
      <c r="AED2" s="18">
        <v>809</v>
      </c>
      <c r="AEE2" s="18">
        <v>810</v>
      </c>
      <c r="AEF2" s="18">
        <v>811</v>
      </c>
      <c r="AEG2" s="18">
        <v>812</v>
      </c>
      <c r="AEH2" s="18">
        <v>813</v>
      </c>
      <c r="AEI2" s="18">
        <v>814</v>
      </c>
      <c r="AEJ2" s="18">
        <v>815</v>
      </c>
      <c r="AEK2" s="18">
        <v>816</v>
      </c>
      <c r="AEL2" s="18">
        <v>817</v>
      </c>
      <c r="AEM2" s="18">
        <v>818</v>
      </c>
      <c r="AEN2" s="18">
        <v>819</v>
      </c>
      <c r="AEO2" s="18">
        <v>820</v>
      </c>
      <c r="AEP2" s="18">
        <v>821</v>
      </c>
      <c r="AEQ2" s="18">
        <v>822</v>
      </c>
      <c r="AER2" s="18">
        <v>823</v>
      </c>
      <c r="AES2" s="18">
        <v>824</v>
      </c>
      <c r="AET2" s="18">
        <v>825</v>
      </c>
      <c r="AEU2" s="18">
        <v>826</v>
      </c>
      <c r="AEV2" s="18">
        <v>827</v>
      </c>
      <c r="AEW2" s="18">
        <v>828</v>
      </c>
      <c r="AEX2" s="18">
        <v>829</v>
      </c>
      <c r="AEY2" s="18">
        <v>830</v>
      </c>
      <c r="AEZ2" s="18">
        <v>831</v>
      </c>
      <c r="AFA2" s="18">
        <v>832</v>
      </c>
      <c r="AFB2" s="18">
        <v>833</v>
      </c>
      <c r="AFC2" s="18">
        <v>834</v>
      </c>
      <c r="AFD2" s="18">
        <v>835</v>
      </c>
      <c r="AFE2" s="18">
        <v>836</v>
      </c>
      <c r="AFF2" s="18">
        <v>837</v>
      </c>
      <c r="AFG2" s="18">
        <v>838</v>
      </c>
      <c r="AFH2" s="18">
        <v>839</v>
      </c>
      <c r="AFI2" s="18">
        <v>840</v>
      </c>
      <c r="AFJ2" s="18">
        <v>841</v>
      </c>
      <c r="AFK2" s="18">
        <v>842</v>
      </c>
      <c r="AFL2" s="18">
        <v>843</v>
      </c>
      <c r="AFM2" s="18">
        <v>844</v>
      </c>
      <c r="AFN2" s="18">
        <v>845</v>
      </c>
      <c r="AFO2" s="18">
        <v>846</v>
      </c>
      <c r="AFP2" s="18">
        <v>847</v>
      </c>
      <c r="AFQ2" s="18">
        <v>848</v>
      </c>
      <c r="AFR2" s="18">
        <v>849</v>
      </c>
      <c r="AFS2" s="18">
        <v>850</v>
      </c>
      <c r="AFT2" s="18">
        <v>851</v>
      </c>
      <c r="AFU2" s="18">
        <v>852</v>
      </c>
      <c r="AFV2" s="18">
        <v>853</v>
      </c>
      <c r="AFW2" s="18">
        <v>854</v>
      </c>
      <c r="AFX2" s="18">
        <v>855</v>
      </c>
      <c r="AFY2" s="18">
        <v>856</v>
      </c>
      <c r="AFZ2" s="18">
        <v>857</v>
      </c>
      <c r="AGA2" s="18">
        <v>858</v>
      </c>
      <c r="AGB2" s="18">
        <v>859</v>
      </c>
      <c r="AGC2" s="18">
        <v>860</v>
      </c>
      <c r="AGD2" s="18">
        <v>861</v>
      </c>
      <c r="AGE2" s="18">
        <v>862</v>
      </c>
      <c r="AGF2" s="18">
        <v>863</v>
      </c>
      <c r="AGG2" s="18">
        <v>864</v>
      </c>
      <c r="AGH2" s="18">
        <v>865</v>
      </c>
      <c r="AGI2" s="18">
        <v>866</v>
      </c>
      <c r="AGJ2" s="18">
        <v>867</v>
      </c>
      <c r="AGK2" s="18">
        <v>868</v>
      </c>
      <c r="AGL2" s="18">
        <v>869</v>
      </c>
      <c r="AGM2" s="18">
        <v>870</v>
      </c>
      <c r="AGN2" s="18">
        <v>871</v>
      </c>
      <c r="AGO2" s="18">
        <v>872</v>
      </c>
      <c r="AGP2" s="18">
        <v>873</v>
      </c>
      <c r="AGQ2" s="18">
        <v>874</v>
      </c>
      <c r="AGR2" s="18">
        <v>875</v>
      </c>
    </row>
    <row r="3" spans="2:876" x14ac:dyDescent="0.35">
      <c r="B3" s="209" t="s">
        <v>120</v>
      </c>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10" t="s">
        <v>70</v>
      </c>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0"/>
      <c r="EB3" s="210"/>
      <c r="EC3" s="210"/>
      <c r="ED3" s="210"/>
      <c r="EE3" s="210"/>
      <c r="EF3" s="210"/>
      <c r="EG3" s="210"/>
      <c r="EH3" s="210"/>
      <c r="EI3" s="210"/>
      <c r="EJ3" s="210"/>
      <c r="EK3" s="210"/>
      <c r="EL3" s="210"/>
      <c r="EM3" s="210"/>
      <c r="EN3" s="210"/>
      <c r="EO3" s="210"/>
      <c r="EP3" s="210"/>
      <c r="EQ3" s="210"/>
      <c r="ER3" s="210"/>
      <c r="ES3" s="210"/>
      <c r="ET3" s="210"/>
      <c r="EU3" s="210"/>
      <c r="EV3" s="210"/>
      <c r="EW3" s="210"/>
      <c r="EX3" s="210"/>
      <c r="EY3" s="210"/>
      <c r="EZ3" s="210"/>
      <c r="FA3" s="210"/>
      <c r="FB3" s="210"/>
      <c r="FC3" s="210"/>
      <c r="FD3" s="210"/>
      <c r="FE3" s="210"/>
      <c r="FF3" s="210"/>
      <c r="FG3" s="210"/>
      <c r="FH3" s="210"/>
      <c r="FI3" s="210"/>
      <c r="FJ3" s="210"/>
      <c r="FK3" s="210"/>
      <c r="FL3" s="210"/>
      <c r="FM3" s="210"/>
      <c r="FN3" s="210"/>
      <c r="FO3" s="210"/>
      <c r="FP3" s="210"/>
      <c r="FQ3" s="210"/>
      <c r="FR3" s="210"/>
      <c r="FS3" s="210"/>
      <c r="FT3" s="210"/>
      <c r="FU3" s="210"/>
      <c r="FV3" s="210"/>
      <c r="FW3" s="210"/>
      <c r="FX3" s="210"/>
      <c r="FY3" s="210"/>
      <c r="FZ3" s="210"/>
      <c r="GA3" s="210"/>
      <c r="GB3" s="210"/>
      <c r="GC3" s="210"/>
      <c r="GD3" s="210"/>
      <c r="GE3" s="210"/>
      <c r="GF3" s="210"/>
      <c r="GG3" s="210"/>
      <c r="GH3" s="210"/>
      <c r="GI3" s="210"/>
      <c r="GJ3" s="210"/>
      <c r="GK3" s="210"/>
      <c r="GL3" s="210"/>
      <c r="GM3" s="210"/>
      <c r="GN3" s="210"/>
      <c r="GO3" s="210"/>
      <c r="GP3" s="210"/>
      <c r="GQ3" s="210"/>
      <c r="GR3" s="210"/>
      <c r="GS3" s="210"/>
      <c r="GT3" s="210"/>
      <c r="GU3" s="210"/>
      <c r="GV3" s="210"/>
      <c r="GW3" s="210"/>
      <c r="GX3" s="210"/>
      <c r="GY3" s="210"/>
      <c r="GZ3" s="210"/>
      <c r="HA3" s="210"/>
      <c r="HB3" s="210"/>
      <c r="HC3" s="210"/>
      <c r="HD3" s="210"/>
      <c r="HE3" s="210"/>
      <c r="HF3" s="210"/>
      <c r="HG3" s="210"/>
      <c r="HH3" s="210"/>
      <c r="HI3" s="210"/>
      <c r="HJ3" s="210"/>
      <c r="HK3" s="210"/>
      <c r="HL3" s="210"/>
      <c r="HM3" s="210"/>
      <c r="HN3" s="210"/>
      <c r="HO3" s="210"/>
      <c r="HP3" s="210"/>
      <c r="HQ3" s="210"/>
      <c r="HR3" s="210"/>
      <c r="HS3" s="210"/>
      <c r="HT3" s="210"/>
      <c r="HU3" s="210"/>
      <c r="HV3" s="210"/>
      <c r="HW3" s="210"/>
      <c r="HX3" s="210"/>
      <c r="HY3" s="210"/>
      <c r="HZ3" s="210"/>
      <c r="IA3" s="210"/>
      <c r="IB3" s="210"/>
      <c r="IC3" s="210"/>
      <c r="ID3" s="210"/>
      <c r="IE3" s="211" t="s">
        <v>87</v>
      </c>
      <c r="IF3" s="211"/>
      <c r="IG3" s="211"/>
      <c r="IH3" s="211"/>
      <c r="II3" s="211"/>
      <c r="IJ3" s="211"/>
      <c r="IK3" s="211"/>
      <c r="IL3" s="211"/>
      <c r="IM3" s="211"/>
      <c r="IN3" s="211"/>
      <c r="IO3" s="211"/>
      <c r="IP3" s="211"/>
      <c r="IQ3" s="211"/>
      <c r="IR3" s="211"/>
      <c r="IS3" s="211"/>
      <c r="IT3" s="211"/>
      <c r="IU3" s="211"/>
      <c r="IV3" s="211"/>
      <c r="IW3" s="211"/>
      <c r="IX3" s="211"/>
      <c r="IY3" s="211"/>
      <c r="IZ3" s="211"/>
      <c r="JA3" s="211"/>
      <c r="JB3" s="211"/>
      <c r="JC3" s="211"/>
      <c r="JD3" s="211"/>
      <c r="JE3" s="211"/>
      <c r="JF3" s="211"/>
      <c r="JG3" s="211"/>
      <c r="JH3" s="211"/>
      <c r="JI3" s="211"/>
      <c r="JJ3" s="211"/>
      <c r="JK3" s="211"/>
      <c r="JL3" s="211"/>
      <c r="JM3" s="211"/>
      <c r="JN3" s="211"/>
      <c r="JO3" s="211"/>
      <c r="JP3" s="211"/>
      <c r="JQ3" s="211"/>
      <c r="JR3" s="211"/>
      <c r="JS3" s="211"/>
      <c r="JT3" s="211"/>
      <c r="JU3" s="211"/>
      <c r="JV3" s="211"/>
      <c r="JW3" s="211"/>
      <c r="JX3" s="211"/>
      <c r="JY3" s="211"/>
      <c r="JZ3" s="211"/>
      <c r="KA3" s="211"/>
      <c r="KB3" s="211"/>
      <c r="KC3" s="211"/>
      <c r="KD3" s="211"/>
      <c r="KE3" s="211"/>
      <c r="KF3" s="211"/>
      <c r="KG3" s="211"/>
      <c r="KH3" s="211"/>
      <c r="KI3" s="211"/>
      <c r="KJ3" s="211"/>
      <c r="KK3" s="211"/>
      <c r="KL3" s="211"/>
      <c r="KM3" s="211"/>
      <c r="KN3" s="211"/>
      <c r="KO3" s="211"/>
      <c r="KP3" s="211"/>
      <c r="KQ3" s="211"/>
      <c r="KR3" s="211"/>
      <c r="KS3" s="211"/>
      <c r="KT3" s="211"/>
      <c r="KU3" s="211"/>
      <c r="KV3" s="211"/>
      <c r="KW3" s="211"/>
      <c r="KX3" s="211"/>
      <c r="KY3" s="211"/>
      <c r="KZ3" s="211"/>
      <c r="LA3" s="211"/>
      <c r="LB3" s="211"/>
      <c r="LC3" s="211"/>
      <c r="LD3" s="211"/>
      <c r="LE3" s="211"/>
      <c r="LF3" s="211"/>
      <c r="LG3" s="211"/>
      <c r="LH3" s="211"/>
      <c r="LI3" s="211"/>
      <c r="LJ3" s="211"/>
      <c r="LK3" s="211"/>
      <c r="LL3" s="211"/>
      <c r="LM3" s="211"/>
      <c r="LN3" s="211"/>
      <c r="LO3" s="211"/>
      <c r="LP3" s="211"/>
      <c r="LQ3" s="211"/>
      <c r="LR3" s="211"/>
      <c r="LS3" s="211"/>
      <c r="LT3" s="211"/>
      <c r="LU3" s="211"/>
      <c r="LV3" s="211"/>
      <c r="LW3" s="211"/>
      <c r="LX3" s="211"/>
      <c r="LY3" s="211"/>
      <c r="LZ3" s="211"/>
      <c r="MA3" s="211"/>
      <c r="MB3" s="211"/>
      <c r="MC3" s="211"/>
      <c r="MD3" s="211"/>
      <c r="ME3" s="211"/>
      <c r="MF3" s="211"/>
      <c r="MG3" s="211"/>
      <c r="MH3" s="211"/>
      <c r="MI3" s="211"/>
      <c r="MJ3" s="211"/>
      <c r="MK3" s="211"/>
      <c r="ML3" s="211"/>
      <c r="MM3" s="211"/>
      <c r="MN3" s="211"/>
      <c r="MO3" s="211"/>
      <c r="MP3" s="211"/>
      <c r="MQ3" s="211"/>
      <c r="MR3" s="211"/>
      <c r="MS3" s="211"/>
      <c r="MT3" s="211"/>
      <c r="MU3" s="211"/>
      <c r="MV3" s="211"/>
      <c r="MW3" s="211"/>
      <c r="MX3" s="211"/>
      <c r="MY3" s="211"/>
      <c r="MZ3" s="211"/>
      <c r="NA3" s="211"/>
      <c r="NB3" s="211"/>
      <c r="NC3" s="211"/>
      <c r="ND3" s="211"/>
      <c r="NE3" s="211"/>
      <c r="NF3" s="211"/>
      <c r="NG3" s="211"/>
      <c r="NH3" s="211"/>
      <c r="NI3" s="211"/>
      <c r="NJ3" s="211"/>
      <c r="NK3" s="211"/>
      <c r="NL3" s="211"/>
      <c r="NM3" s="211"/>
      <c r="NN3" s="211"/>
      <c r="NO3" s="211"/>
      <c r="NP3" s="211"/>
      <c r="NQ3" s="211"/>
      <c r="NR3" s="211"/>
      <c r="NS3" s="211"/>
      <c r="NT3" s="211"/>
      <c r="NU3" s="211"/>
      <c r="NV3" s="211"/>
      <c r="NW3" s="211"/>
      <c r="NX3" s="211"/>
      <c r="NY3" s="211"/>
      <c r="NZ3" s="211"/>
      <c r="OA3" s="211"/>
      <c r="OB3" s="211"/>
      <c r="OC3" s="211"/>
      <c r="OD3" s="211"/>
      <c r="OE3" s="211"/>
      <c r="OF3" s="211"/>
      <c r="OG3" s="211"/>
      <c r="OH3" s="211"/>
      <c r="OI3" s="211"/>
      <c r="OJ3" s="211"/>
      <c r="OK3" s="211"/>
      <c r="OL3" s="211"/>
      <c r="OM3" s="211"/>
      <c r="ON3" s="211"/>
      <c r="OO3" s="211"/>
      <c r="OP3" s="211"/>
      <c r="OQ3" s="211"/>
      <c r="OR3" s="211"/>
      <c r="OS3" s="211"/>
      <c r="OT3" s="211"/>
      <c r="OU3" s="211"/>
      <c r="OV3" s="211"/>
      <c r="OW3" s="211"/>
      <c r="OX3" s="211"/>
      <c r="OY3" s="211"/>
      <c r="OZ3" s="211"/>
      <c r="PA3" s="211"/>
      <c r="PB3" s="211"/>
      <c r="PC3" s="211"/>
      <c r="PD3" s="211"/>
      <c r="PE3" s="211"/>
      <c r="PF3" s="211"/>
      <c r="PG3" s="211"/>
      <c r="PH3" s="211"/>
      <c r="PI3" s="211"/>
      <c r="PJ3" s="211"/>
      <c r="PK3" s="211"/>
      <c r="PL3" s="211"/>
      <c r="PM3" s="211"/>
      <c r="PN3" s="211"/>
      <c r="PO3" s="211"/>
      <c r="PP3" s="211"/>
      <c r="PQ3" s="211"/>
      <c r="PR3" s="211"/>
      <c r="PS3" s="211"/>
      <c r="PT3" s="211"/>
      <c r="PU3" s="211"/>
      <c r="PV3" s="211"/>
      <c r="PW3" s="211"/>
      <c r="PX3" s="211"/>
      <c r="PY3" s="211"/>
      <c r="PZ3" s="211"/>
      <c r="QA3" s="211"/>
      <c r="QB3" s="211"/>
      <c r="QC3" s="211"/>
      <c r="QD3" s="211"/>
      <c r="QE3" s="211"/>
      <c r="QF3" s="211"/>
      <c r="QG3" s="211"/>
      <c r="QH3" s="211"/>
      <c r="QI3" s="211"/>
      <c r="QJ3" s="211"/>
      <c r="QK3" s="211"/>
      <c r="QL3" s="211"/>
      <c r="QM3" s="211"/>
      <c r="QN3" s="211"/>
      <c r="QO3" s="211"/>
      <c r="QP3" s="211"/>
      <c r="QQ3" s="211"/>
      <c r="QR3" s="211"/>
      <c r="QS3" s="211"/>
      <c r="QT3" s="211"/>
      <c r="QU3" s="211"/>
      <c r="QV3" s="211"/>
      <c r="QW3" s="211"/>
      <c r="QX3" s="211"/>
      <c r="QY3" s="211"/>
      <c r="QZ3" s="211"/>
      <c r="RA3" s="211"/>
      <c r="RB3" s="211"/>
      <c r="RC3" s="211"/>
      <c r="RD3" s="211"/>
      <c r="RE3" s="211"/>
      <c r="RF3" s="212" t="s">
        <v>95</v>
      </c>
      <c r="RG3" s="212"/>
      <c r="RH3" s="212"/>
      <c r="RI3" s="212"/>
      <c r="RJ3" s="212"/>
      <c r="RK3" s="212"/>
      <c r="RL3" s="212"/>
      <c r="RM3" s="212"/>
      <c r="RN3" s="212"/>
      <c r="RO3" s="212"/>
      <c r="RP3" s="212"/>
      <c r="RQ3" s="212"/>
      <c r="RR3" s="212"/>
      <c r="RS3" s="212"/>
      <c r="RT3" s="212"/>
      <c r="RU3" s="212"/>
      <c r="RV3" s="212"/>
      <c r="RW3" s="212"/>
      <c r="RX3" s="212"/>
      <c r="RY3" s="212"/>
      <c r="RZ3" s="212"/>
      <c r="SA3" s="212"/>
      <c r="SB3" s="212"/>
      <c r="SC3" s="212"/>
      <c r="SD3" s="212"/>
      <c r="SE3" s="212"/>
      <c r="SF3" s="212"/>
      <c r="SG3" s="212"/>
      <c r="SH3" s="212"/>
      <c r="SI3" s="212"/>
      <c r="SJ3" s="212"/>
      <c r="SK3" s="212"/>
      <c r="SL3" s="212"/>
      <c r="SM3" s="212"/>
      <c r="SN3" s="212"/>
      <c r="SO3" s="212"/>
      <c r="SP3" s="212"/>
      <c r="SQ3" s="212"/>
      <c r="SR3" s="212"/>
      <c r="SS3" s="212"/>
      <c r="ST3" s="212"/>
      <c r="SU3" s="212"/>
      <c r="SV3" s="212"/>
      <c r="SW3" s="212"/>
      <c r="SX3" s="212"/>
      <c r="SY3" s="212"/>
      <c r="SZ3" s="212"/>
      <c r="TA3" s="212"/>
      <c r="TB3" s="212"/>
      <c r="TC3" s="212"/>
      <c r="TD3" s="212"/>
      <c r="TE3" s="212"/>
      <c r="TF3" s="212"/>
      <c r="TG3" s="212"/>
      <c r="TH3" s="212"/>
      <c r="TI3" s="212"/>
      <c r="TJ3" s="212"/>
      <c r="TK3" s="212"/>
      <c r="TL3" s="212"/>
      <c r="TM3" s="212"/>
      <c r="TN3" s="212"/>
      <c r="TO3" s="212"/>
      <c r="TP3" s="212"/>
      <c r="TQ3" s="212"/>
      <c r="TR3" s="212"/>
      <c r="TS3" s="212"/>
      <c r="TT3" s="212"/>
      <c r="TU3" s="212"/>
      <c r="TV3" s="212"/>
      <c r="TW3" s="212"/>
      <c r="TX3" s="212"/>
      <c r="TY3" s="212"/>
      <c r="TZ3" s="212"/>
      <c r="UA3" s="212"/>
      <c r="UB3" s="212"/>
      <c r="UC3" s="212"/>
      <c r="UD3" s="212"/>
      <c r="UE3" s="212"/>
      <c r="UF3" s="212"/>
      <c r="UG3" s="212"/>
      <c r="UH3" s="212"/>
      <c r="UI3" s="212"/>
      <c r="UJ3" s="212"/>
      <c r="UK3" s="212"/>
      <c r="UL3" s="212"/>
      <c r="UM3" s="212"/>
      <c r="UN3" s="212"/>
      <c r="UO3" s="212"/>
      <c r="UP3" s="212"/>
      <c r="UQ3" s="212"/>
      <c r="UR3" s="212"/>
      <c r="US3" s="212"/>
      <c r="UT3" s="212"/>
      <c r="UU3" s="212"/>
      <c r="UV3" s="212"/>
      <c r="UW3" s="212"/>
      <c r="UX3" s="212"/>
      <c r="UY3" s="212"/>
      <c r="UZ3" s="212"/>
      <c r="VA3" s="212"/>
      <c r="VB3" s="212"/>
      <c r="VC3" s="212"/>
      <c r="VD3" s="212"/>
      <c r="VE3" s="212"/>
      <c r="VF3" s="212"/>
      <c r="VG3" s="212"/>
      <c r="VH3" s="212"/>
      <c r="VI3" s="212"/>
      <c r="VJ3" s="212"/>
      <c r="VK3" s="212"/>
      <c r="VL3" s="212"/>
      <c r="VM3" s="212"/>
      <c r="VN3" s="212"/>
      <c r="VO3" s="212"/>
      <c r="VP3" s="212"/>
      <c r="VQ3" s="212"/>
      <c r="VR3" s="212"/>
      <c r="VS3" s="212"/>
      <c r="VT3" s="212"/>
      <c r="VU3" s="212"/>
      <c r="VV3" s="212"/>
      <c r="VW3" s="212"/>
      <c r="VX3" s="212"/>
      <c r="VY3" s="212"/>
      <c r="VZ3" s="212"/>
      <c r="WA3" s="212"/>
      <c r="WB3" s="212"/>
      <c r="WC3" s="212"/>
      <c r="WD3" s="212"/>
      <c r="WE3" s="212"/>
      <c r="WF3" s="212"/>
      <c r="WG3" s="212"/>
      <c r="WH3" s="212"/>
      <c r="WI3" s="212"/>
      <c r="WJ3" s="212"/>
      <c r="WK3" s="212"/>
      <c r="WL3" s="212"/>
      <c r="WM3" s="212"/>
      <c r="WN3" s="212"/>
      <c r="WO3" s="212"/>
      <c r="WP3" s="212"/>
      <c r="WQ3" s="212"/>
      <c r="WR3" s="212"/>
      <c r="WS3" s="212"/>
      <c r="WT3" s="212"/>
      <c r="WU3" s="212"/>
      <c r="WV3" s="212"/>
      <c r="WW3" s="212"/>
      <c r="WX3" s="212"/>
      <c r="WY3" s="212"/>
      <c r="WZ3" s="212"/>
      <c r="XA3" s="212"/>
      <c r="XB3" s="212"/>
      <c r="XC3" s="212"/>
      <c r="XD3" s="213" t="s">
        <v>121</v>
      </c>
      <c r="XE3" s="214"/>
      <c r="XF3" s="214"/>
      <c r="XG3" s="214"/>
      <c r="XH3" s="214"/>
      <c r="XI3" s="214"/>
      <c r="XJ3" s="214"/>
      <c r="XK3" s="214"/>
      <c r="XL3" s="214"/>
      <c r="XM3" s="214"/>
      <c r="XN3" s="214"/>
      <c r="XO3" s="214"/>
      <c r="XP3" s="214"/>
      <c r="XQ3" s="214"/>
      <c r="XR3" s="214"/>
      <c r="XS3" s="214"/>
      <c r="XT3" s="214"/>
      <c r="XU3" s="214"/>
      <c r="XV3" s="214"/>
      <c r="XW3" s="214"/>
      <c r="XX3" s="214"/>
      <c r="XY3" s="214"/>
      <c r="XZ3" s="214"/>
      <c r="YA3" s="214"/>
      <c r="YB3" s="214"/>
      <c r="YC3" s="214"/>
      <c r="YD3" s="214"/>
      <c r="YE3" s="214"/>
      <c r="YF3" s="214"/>
      <c r="YG3" s="214"/>
      <c r="YH3" s="214"/>
      <c r="YI3" s="214"/>
      <c r="YJ3" s="214"/>
      <c r="YK3" s="214"/>
      <c r="YL3" s="214"/>
      <c r="YM3" s="214"/>
      <c r="YN3" s="214"/>
      <c r="YO3" s="214"/>
      <c r="YP3" s="214"/>
      <c r="YQ3" s="214"/>
      <c r="YR3" s="214"/>
      <c r="YS3" s="214"/>
      <c r="YT3" s="214"/>
      <c r="YU3" s="214"/>
      <c r="YV3" s="214"/>
      <c r="YW3" s="214"/>
      <c r="YX3" s="214"/>
      <c r="YY3" s="214"/>
      <c r="YZ3" s="214"/>
      <c r="ZA3" s="214"/>
      <c r="ZB3" s="214"/>
      <c r="ZC3" s="214"/>
      <c r="ZD3" s="214"/>
      <c r="ZE3" s="214"/>
      <c r="ZF3" s="214"/>
      <c r="ZG3" s="214"/>
      <c r="ZH3" s="214"/>
      <c r="ZI3" s="214"/>
      <c r="ZJ3" s="214"/>
      <c r="ZK3" s="214"/>
      <c r="ZL3" s="214"/>
      <c r="ZM3" s="214"/>
      <c r="ZN3" s="214"/>
      <c r="ZO3" s="214"/>
      <c r="ZP3" s="214"/>
      <c r="ZQ3" s="214"/>
      <c r="ZR3" s="214"/>
      <c r="ZS3" s="214"/>
      <c r="ZT3" s="214"/>
      <c r="ZU3" s="214"/>
      <c r="ZV3" s="214"/>
      <c r="ZW3" s="214"/>
      <c r="ZX3" s="214"/>
      <c r="ZY3" s="214"/>
      <c r="ZZ3" s="214"/>
      <c r="AAA3" s="214"/>
      <c r="AAB3" s="214"/>
      <c r="AAC3" s="214"/>
      <c r="AAD3" s="214"/>
      <c r="AAE3" s="214"/>
      <c r="AAF3" s="214"/>
      <c r="AAG3" s="214"/>
      <c r="AAH3" s="214"/>
      <c r="AAI3" s="214"/>
      <c r="AAJ3" s="214"/>
      <c r="AAK3" s="215"/>
      <c r="AAL3" s="216" t="s">
        <v>110</v>
      </c>
      <c r="AAM3" s="216"/>
      <c r="AAN3" s="216"/>
      <c r="AAO3" s="216"/>
      <c r="AAP3" s="216"/>
      <c r="AAQ3" s="216"/>
      <c r="AAR3" s="216"/>
      <c r="AAS3" s="216"/>
      <c r="AAT3" s="216"/>
      <c r="AAU3" s="216"/>
      <c r="AAV3" s="216"/>
      <c r="AAW3" s="216"/>
      <c r="AAX3" s="216"/>
      <c r="AAY3" s="216"/>
      <c r="AAZ3" s="216"/>
      <c r="ABA3" s="216"/>
      <c r="ABB3" s="216"/>
      <c r="ABC3" s="216"/>
      <c r="ABD3" s="216"/>
      <c r="ABE3" s="216"/>
      <c r="ABF3" s="216"/>
      <c r="ABG3" s="216"/>
      <c r="ABH3" s="216"/>
      <c r="ABI3" s="216"/>
      <c r="ABJ3" s="216"/>
      <c r="ABK3" s="216"/>
      <c r="ABL3" s="216"/>
      <c r="ABM3" s="216"/>
      <c r="ABN3" s="216"/>
      <c r="ABO3" s="207" t="s">
        <v>112</v>
      </c>
      <c r="ABP3" s="207"/>
      <c r="ABQ3" s="207"/>
      <c r="ABR3" s="207"/>
      <c r="ABS3" s="207"/>
      <c r="ABT3" s="207"/>
      <c r="ABU3" s="207"/>
      <c r="ABV3" s="207"/>
      <c r="ABW3" s="207"/>
      <c r="ABX3" s="207"/>
      <c r="ABY3" s="207"/>
      <c r="ABZ3" s="207"/>
      <c r="ACA3" s="207"/>
      <c r="ACB3" s="207"/>
      <c r="ACC3" s="207"/>
      <c r="ACD3" s="207"/>
      <c r="ACE3" s="207"/>
      <c r="ACF3" s="207"/>
      <c r="ACG3" s="207"/>
      <c r="ACH3" s="207"/>
      <c r="ACI3" s="207"/>
      <c r="ACJ3" s="207"/>
      <c r="ACK3" s="207"/>
      <c r="ACL3" s="207"/>
      <c r="ACM3" s="207"/>
      <c r="ACN3" s="207"/>
      <c r="ACO3" s="207"/>
      <c r="ACP3" s="207"/>
      <c r="ACQ3" s="207"/>
      <c r="ACR3" s="207"/>
      <c r="ACS3" s="207"/>
      <c r="ACT3" s="207"/>
      <c r="ACU3" s="207"/>
      <c r="ACV3" s="207"/>
      <c r="ACW3" s="207"/>
      <c r="ACX3" s="207"/>
      <c r="ACY3" s="207"/>
      <c r="ACZ3" s="207"/>
      <c r="ADA3" s="207"/>
      <c r="ADB3" s="207"/>
      <c r="ADC3" s="207"/>
      <c r="ADD3" s="208" t="s">
        <v>122</v>
      </c>
      <c r="ADE3" s="208"/>
      <c r="ADF3" s="208"/>
      <c r="ADG3" s="208"/>
      <c r="ADH3" s="208"/>
      <c r="ADI3" s="208"/>
      <c r="ADJ3" s="208"/>
      <c r="ADK3" s="208"/>
      <c r="ADL3" s="208"/>
      <c r="ADM3" s="208"/>
      <c r="ADN3" s="208"/>
      <c r="ADO3" s="208"/>
      <c r="ADP3" s="208"/>
      <c r="ADQ3" s="208"/>
      <c r="ADR3" s="208"/>
      <c r="ADS3" s="208"/>
      <c r="ADT3" s="208"/>
      <c r="ADU3" s="208"/>
      <c r="ADV3" s="208"/>
      <c r="ADW3" s="208"/>
      <c r="ADX3" s="208"/>
      <c r="ADY3" s="208"/>
      <c r="ADZ3" s="208"/>
      <c r="AEA3" s="208"/>
      <c r="AEB3" s="208"/>
      <c r="AEC3" s="208"/>
      <c r="AED3" s="208"/>
      <c r="AEE3" s="208"/>
      <c r="AEF3" s="208"/>
      <c r="AEG3" s="208"/>
      <c r="AEH3" s="208"/>
      <c r="AEI3" s="208"/>
      <c r="AEJ3" s="208"/>
      <c r="AEK3" s="208"/>
      <c r="AEL3" s="208"/>
      <c r="AEM3" s="208"/>
      <c r="AEN3" s="208"/>
      <c r="AEO3" s="208"/>
      <c r="AEP3" s="208"/>
      <c r="AEQ3" s="208"/>
      <c r="AER3" s="208"/>
      <c r="AES3" s="208"/>
      <c r="AET3" s="208"/>
      <c r="AEU3" s="208"/>
      <c r="AEV3" s="208"/>
      <c r="AEW3" s="208"/>
      <c r="AEX3" s="208"/>
      <c r="AEY3" s="208"/>
      <c r="AEZ3" s="208"/>
      <c r="AFA3" s="208"/>
      <c r="AFB3" s="208"/>
      <c r="AFC3" s="208"/>
      <c r="AFD3" s="208"/>
      <c r="AFE3" s="208"/>
      <c r="AFF3" s="208"/>
      <c r="AFG3" s="208"/>
      <c r="AFH3" s="208"/>
      <c r="AFI3" s="208"/>
      <c r="AFJ3" s="208"/>
      <c r="AFK3" s="208"/>
      <c r="AFL3" s="208"/>
      <c r="AFM3" s="208"/>
      <c r="AFN3" s="208"/>
      <c r="AFO3" s="208"/>
      <c r="AFP3" s="208"/>
      <c r="AFQ3" s="208"/>
      <c r="AFR3" s="208"/>
      <c r="AFS3" s="208"/>
      <c r="AFT3" s="208"/>
      <c r="AFU3" s="208"/>
      <c r="AFV3" s="208"/>
      <c r="AFW3" s="208"/>
      <c r="AFX3" s="208"/>
      <c r="AFY3" s="208"/>
      <c r="AFZ3" s="208"/>
      <c r="AGA3" s="208"/>
      <c r="AGB3" s="208"/>
      <c r="AGC3" s="208"/>
      <c r="AGD3" s="208"/>
      <c r="AGE3" s="208"/>
      <c r="AGF3" s="208"/>
      <c r="AGG3" s="208"/>
      <c r="AGH3" s="208"/>
      <c r="AGI3" s="208"/>
      <c r="AGJ3" s="208"/>
      <c r="AGK3" s="208"/>
      <c r="AGL3" s="208"/>
      <c r="AGM3" s="208"/>
      <c r="AGN3" s="208"/>
      <c r="AGO3" s="208"/>
      <c r="AGP3" s="208"/>
      <c r="AGQ3" s="208"/>
      <c r="AGR3" s="208"/>
    </row>
    <row r="4" spans="2:876" ht="101.5" x14ac:dyDescent="0.35">
      <c r="B4" s="88" t="s">
        <v>12</v>
      </c>
      <c r="C4" s="88" t="s">
        <v>13</v>
      </c>
      <c r="D4" s="88" t="s">
        <v>14</v>
      </c>
      <c r="E4" s="88" t="s">
        <v>16</v>
      </c>
      <c r="F4" s="88" t="s">
        <v>17</v>
      </c>
      <c r="G4" s="88" t="s">
        <v>18</v>
      </c>
      <c r="H4" s="88" t="s">
        <v>123</v>
      </c>
      <c r="I4" s="88" t="s">
        <v>19</v>
      </c>
      <c r="J4" s="88" t="s">
        <v>20</v>
      </c>
      <c r="K4" s="88" t="s">
        <v>21</v>
      </c>
      <c r="L4" s="88" t="s">
        <v>23</v>
      </c>
      <c r="M4" s="88" t="s">
        <v>24</v>
      </c>
      <c r="N4" s="88" t="s">
        <v>25</v>
      </c>
      <c r="O4" s="88" t="s">
        <v>124</v>
      </c>
      <c r="P4" s="88" t="s">
        <v>26</v>
      </c>
      <c r="Q4" s="88" t="s">
        <v>125</v>
      </c>
      <c r="R4" s="88" t="s">
        <v>27</v>
      </c>
      <c r="S4" s="88" t="s">
        <v>28</v>
      </c>
      <c r="T4" s="88" t="s">
        <v>126</v>
      </c>
      <c r="U4" s="88" t="s">
        <v>29</v>
      </c>
      <c r="V4" s="88" t="s">
        <v>30</v>
      </c>
      <c r="W4" s="88" t="s">
        <v>31</v>
      </c>
      <c r="X4" s="88" t="s">
        <v>32</v>
      </c>
      <c r="Y4" s="88" t="s">
        <v>33</v>
      </c>
      <c r="Z4" s="88" t="s">
        <v>34</v>
      </c>
      <c r="AA4" s="88" t="str">
        <f>'Building Description'!B48</f>
        <v>Are there any areas which will require access equipment to reach (e.g. high ceilings)?</v>
      </c>
      <c r="AB4" s="88" t="s">
        <v>126</v>
      </c>
      <c r="AC4" s="88" t="s">
        <v>37</v>
      </c>
      <c r="AD4" s="88" t="s">
        <v>38</v>
      </c>
      <c r="AE4" s="88" t="s">
        <v>39</v>
      </c>
      <c r="AF4" s="88" t="s">
        <v>127</v>
      </c>
      <c r="AG4" s="88" t="s">
        <v>40</v>
      </c>
      <c r="AH4" s="88" t="s">
        <v>128</v>
      </c>
      <c r="AI4" s="88" t="s">
        <v>41</v>
      </c>
      <c r="AJ4" s="88" t="s">
        <v>129</v>
      </c>
      <c r="AK4" s="88" t="s">
        <v>42</v>
      </c>
      <c r="AL4" s="88" t="s">
        <v>126</v>
      </c>
      <c r="AM4" s="88" t="s">
        <v>43</v>
      </c>
      <c r="AN4" s="88" t="s">
        <v>44</v>
      </c>
      <c r="AO4" s="88" t="s">
        <v>130</v>
      </c>
      <c r="AP4" s="88" t="s">
        <v>131</v>
      </c>
      <c r="AQ4" s="88" t="s">
        <v>132</v>
      </c>
      <c r="AR4" s="88" t="s">
        <v>133</v>
      </c>
      <c r="AS4" s="88" t="s">
        <v>46</v>
      </c>
      <c r="AT4" s="88" t="s">
        <v>134</v>
      </c>
      <c r="AU4" s="88" t="s">
        <v>135</v>
      </c>
      <c r="AV4" s="88" t="s">
        <v>15</v>
      </c>
      <c r="AW4" s="88" t="s">
        <v>136</v>
      </c>
      <c r="AX4" s="88" t="s">
        <v>15</v>
      </c>
      <c r="AY4" s="88" t="s">
        <v>137</v>
      </c>
      <c r="AZ4" s="88" t="s">
        <v>138</v>
      </c>
      <c r="BA4" s="88" t="s">
        <v>139</v>
      </c>
      <c r="BB4" s="88" t="s">
        <v>140</v>
      </c>
      <c r="BC4" s="88" t="s">
        <v>15</v>
      </c>
      <c r="BD4" s="88" t="s">
        <v>141</v>
      </c>
      <c r="BE4" s="88" t="s">
        <v>47</v>
      </c>
      <c r="BF4" s="88" t="s">
        <v>142</v>
      </c>
      <c r="BG4" s="88" t="s">
        <v>15</v>
      </c>
      <c r="BH4" s="88" t="s">
        <v>49</v>
      </c>
      <c r="BI4" s="88" t="s">
        <v>143</v>
      </c>
      <c r="BJ4" s="88" t="s">
        <v>50</v>
      </c>
      <c r="BK4" s="88" t="s">
        <v>143</v>
      </c>
      <c r="BL4" s="88" t="s">
        <v>51</v>
      </c>
      <c r="BM4" s="88" t="s">
        <v>143</v>
      </c>
      <c r="BN4" s="88" t="s">
        <v>52</v>
      </c>
      <c r="BO4" s="88" t="s">
        <v>144</v>
      </c>
      <c r="BP4" s="88" t="s">
        <v>53</v>
      </c>
      <c r="BQ4" s="88" t="s">
        <v>145</v>
      </c>
      <c r="BR4" s="88" t="s">
        <v>146</v>
      </c>
      <c r="BS4" s="88" t="s">
        <v>56</v>
      </c>
      <c r="BT4" s="88" t="s">
        <v>147</v>
      </c>
      <c r="BU4" s="88" t="s">
        <v>58</v>
      </c>
      <c r="BV4" s="88" t="s">
        <v>145</v>
      </c>
      <c r="BW4" s="88" t="s">
        <v>59</v>
      </c>
      <c r="BX4" s="88" t="s">
        <v>145</v>
      </c>
      <c r="BY4" s="88" t="s">
        <v>60</v>
      </c>
      <c r="BZ4" s="88" t="s">
        <v>61</v>
      </c>
      <c r="CA4" s="88" t="s">
        <v>62</v>
      </c>
      <c r="CB4" s="88" t="s">
        <v>63</v>
      </c>
      <c r="CC4" s="88" t="s">
        <v>64</v>
      </c>
      <c r="CD4" s="88" t="s">
        <v>65</v>
      </c>
      <c r="CE4" s="88" t="s">
        <v>66</v>
      </c>
      <c r="CF4" s="88" t="s">
        <v>57</v>
      </c>
      <c r="CG4" s="88" t="s">
        <v>68</v>
      </c>
      <c r="CH4" s="88" t="s">
        <v>148</v>
      </c>
      <c r="CI4" s="88" t="s">
        <v>69</v>
      </c>
      <c r="CJ4" s="88" t="s">
        <v>149</v>
      </c>
      <c r="CK4" s="88" t="s">
        <v>150</v>
      </c>
      <c r="CL4" s="88" t="s">
        <v>151</v>
      </c>
      <c r="CM4" s="88" t="s">
        <v>11</v>
      </c>
      <c r="CN4" s="89" t="s">
        <v>71</v>
      </c>
      <c r="CO4" s="89" t="s">
        <v>152</v>
      </c>
      <c r="CP4" s="89" t="s">
        <v>153</v>
      </c>
      <c r="CQ4" s="89" t="s">
        <v>154</v>
      </c>
      <c r="CR4" s="89" t="s">
        <v>155</v>
      </c>
      <c r="CS4" s="89" t="s">
        <v>156</v>
      </c>
      <c r="CT4" s="89" t="s">
        <v>72</v>
      </c>
      <c r="CU4" s="89" t="s">
        <v>157</v>
      </c>
      <c r="CV4" s="89" t="s">
        <v>158</v>
      </c>
      <c r="CW4" s="89" t="s">
        <v>154</v>
      </c>
      <c r="CX4" s="89" t="s">
        <v>155</v>
      </c>
      <c r="CY4" s="89" t="s">
        <v>159</v>
      </c>
      <c r="CZ4" s="89" t="s">
        <v>160</v>
      </c>
      <c r="DA4" s="89" t="s">
        <v>161</v>
      </c>
      <c r="DB4" s="89" t="s">
        <v>162</v>
      </c>
      <c r="DC4" s="89" t="s">
        <v>163</v>
      </c>
      <c r="DD4" s="89" t="s">
        <v>161</v>
      </c>
      <c r="DE4" s="89" t="s">
        <v>164</v>
      </c>
      <c r="DF4" s="89" t="s">
        <v>161</v>
      </c>
      <c r="DG4" s="89" t="s">
        <v>165</v>
      </c>
      <c r="DH4" s="89" t="s">
        <v>161</v>
      </c>
      <c r="DI4" s="89" t="s">
        <v>166</v>
      </c>
      <c r="DJ4" s="89" t="s">
        <v>149</v>
      </c>
      <c r="DK4" s="89" t="s">
        <v>73</v>
      </c>
      <c r="DL4" s="89" t="s">
        <v>167</v>
      </c>
      <c r="DM4" s="89" t="s">
        <v>168</v>
      </c>
      <c r="DN4" s="89" t="s">
        <v>154</v>
      </c>
      <c r="DO4" s="89" t="s">
        <v>149</v>
      </c>
      <c r="DP4" s="89" t="s">
        <v>169</v>
      </c>
      <c r="DQ4" s="89" t="s">
        <v>170</v>
      </c>
      <c r="DR4" s="89" t="s">
        <v>171</v>
      </c>
      <c r="DS4" s="89" t="s">
        <v>149</v>
      </c>
      <c r="DT4" s="89" t="s">
        <v>172</v>
      </c>
      <c r="DU4" s="89" t="s">
        <v>173</v>
      </c>
      <c r="DV4" s="89" t="s">
        <v>161</v>
      </c>
      <c r="DW4" s="89" t="s">
        <v>74</v>
      </c>
      <c r="DX4" s="89" t="s">
        <v>168</v>
      </c>
      <c r="DY4" s="89" t="s">
        <v>154</v>
      </c>
      <c r="DZ4" s="89" t="s">
        <v>149</v>
      </c>
      <c r="EA4" s="89" t="s">
        <v>75</v>
      </c>
      <c r="EB4" s="89" t="s">
        <v>174</v>
      </c>
      <c r="EC4" s="89" t="s">
        <v>175</v>
      </c>
      <c r="ED4" s="89" t="s">
        <v>176</v>
      </c>
      <c r="EE4" s="89" t="s">
        <v>145</v>
      </c>
      <c r="EF4" s="89" t="s">
        <v>168</v>
      </c>
      <c r="EG4" s="89" t="s">
        <v>177</v>
      </c>
      <c r="EH4" s="89" t="s">
        <v>178</v>
      </c>
      <c r="EI4" s="89" t="s">
        <v>179</v>
      </c>
      <c r="EJ4" s="89" t="s">
        <v>149</v>
      </c>
      <c r="EK4" s="89" t="s">
        <v>180</v>
      </c>
      <c r="EL4" s="89" t="s">
        <v>181</v>
      </c>
      <c r="EM4" s="89" t="s">
        <v>76</v>
      </c>
      <c r="EN4" s="89" t="s">
        <v>182</v>
      </c>
      <c r="EO4" s="89" t="s">
        <v>183</v>
      </c>
      <c r="EP4" s="89" t="s">
        <v>184</v>
      </c>
      <c r="EQ4" s="89" t="s">
        <v>185</v>
      </c>
      <c r="ER4" s="89" t="s">
        <v>186</v>
      </c>
      <c r="ES4" s="89" t="s">
        <v>187</v>
      </c>
      <c r="ET4" s="89" t="s">
        <v>188</v>
      </c>
      <c r="EU4" s="89" t="s">
        <v>189</v>
      </c>
      <c r="EV4" s="89" t="s">
        <v>190</v>
      </c>
      <c r="EW4" s="89" t="s">
        <v>191</v>
      </c>
      <c r="EX4" s="89" t="s">
        <v>192</v>
      </c>
      <c r="EY4" s="89" t="s">
        <v>77</v>
      </c>
      <c r="EZ4" s="89" t="s">
        <v>193</v>
      </c>
      <c r="FA4" s="89" t="s">
        <v>194</v>
      </c>
      <c r="FB4" s="89" t="s">
        <v>161</v>
      </c>
      <c r="FC4" s="89" t="s">
        <v>154</v>
      </c>
      <c r="FD4" s="89" t="s">
        <v>78</v>
      </c>
      <c r="FE4" s="89" t="s">
        <v>195</v>
      </c>
      <c r="FF4" s="89" t="s">
        <v>194</v>
      </c>
      <c r="FG4" s="89" t="s">
        <v>145</v>
      </c>
      <c r="FH4" s="89" t="s">
        <v>15</v>
      </c>
      <c r="FI4" s="89" t="s">
        <v>196</v>
      </c>
      <c r="FJ4" s="89" t="s">
        <v>197</v>
      </c>
      <c r="FK4" s="89" t="s">
        <v>198</v>
      </c>
      <c r="FL4" s="89" t="s">
        <v>199</v>
      </c>
      <c r="FM4" s="89" t="s">
        <v>79</v>
      </c>
      <c r="FN4" s="89" t="s">
        <v>200</v>
      </c>
      <c r="FO4" s="89" t="s">
        <v>201</v>
      </c>
      <c r="FP4" s="89" t="s">
        <v>202</v>
      </c>
      <c r="FQ4" s="89" t="s">
        <v>80</v>
      </c>
      <c r="FR4" s="89" t="s">
        <v>203</v>
      </c>
      <c r="FS4" s="89" t="s">
        <v>168</v>
      </c>
      <c r="FT4" s="89" t="s">
        <v>204</v>
      </c>
      <c r="FU4" s="89" t="s">
        <v>81</v>
      </c>
      <c r="FV4" s="89" t="s">
        <v>205</v>
      </c>
      <c r="FW4" s="89" t="s">
        <v>206</v>
      </c>
      <c r="FX4" s="89" t="s">
        <v>161</v>
      </c>
      <c r="FY4" s="89" t="s">
        <v>207</v>
      </c>
      <c r="FZ4" s="89" t="s">
        <v>208</v>
      </c>
      <c r="GA4" s="89" t="s">
        <v>206</v>
      </c>
      <c r="GB4" s="89" t="s">
        <v>161</v>
      </c>
      <c r="GC4" s="89" t="s">
        <v>207</v>
      </c>
      <c r="GD4" s="89" t="s">
        <v>209</v>
      </c>
      <c r="GE4" s="89" t="s">
        <v>206</v>
      </c>
      <c r="GF4" s="89" t="s">
        <v>161</v>
      </c>
      <c r="GG4" s="89" t="s">
        <v>207</v>
      </c>
      <c r="GH4" s="89" t="s">
        <v>210</v>
      </c>
      <c r="GI4" s="89" t="s">
        <v>206</v>
      </c>
      <c r="GJ4" s="89" t="s">
        <v>161</v>
      </c>
      <c r="GK4" s="89" t="s">
        <v>207</v>
      </c>
      <c r="GL4" s="89" t="s">
        <v>211</v>
      </c>
      <c r="GM4" s="89" t="s">
        <v>206</v>
      </c>
      <c r="GN4" s="89" t="s">
        <v>161</v>
      </c>
      <c r="GO4" s="89" t="s">
        <v>207</v>
      </c>
      <c r="GP4" s="89" t="s">
        <v>212</v>
      </c>
      <c r="GQ4" s="89" t="s">
        <v>206</v>
      </c>
      <c r="GR4" s="89" t="s">
        <v>161</v>
      </c>
      <c r="GS4" s="89" t="s">
        <v>207</v>
      </c>
      <c r="GT4" s="89" t="s">
        <v>213</v>
      </c>
      <c r="GU4" s="89" t="s">
        <v>214</v>
      </c>
      <c r="GV4" s="89" t="s">
        <v>215</v>
      </c>
      <c r="GW4" s="89" t="s">
        <v>82</v>
      </c>
      <c r="GX4" s="89" t="s">
        <v>216</v>
      </c>
      <c r="GY4" s="89" t="s">
        <v>217</v>
      </c>
      <c r="GZ4" s="89" t="s">
        <v>218</v>
      </c>
      <c r="HA4" s="89" t="s">
        <v>219</v>
      </c>
      <c r="HB4" s="89" t="s">
        <v>220</v>
      </c>
      <c r="HC4" s="89" t="s">
        <v>221</v>
      </c>
      <c r="HD4" s="89" t="s">
        <v>154</v>
      </c>
      <c r="HE4" s="89" t="s">
        <v>149</v>
      </c>
      <c r="HF4" s="89" t="s">
        <v>222</v>
      </c>
      <c r="HG4" s="89" t="s">
        <v>218</v>
      </c>
      <c r="HH4" s="89" t="s">
        <v>207</v>
      </c>
      <c r="HI4" s="89" t="s">
        <v>149</v>
      </c>
      <c r="HJ4" s="89" t="s">
        <v>15</v>
      </c>
      <c r="HK4" s="89" t="s">
        <v>83</v>
      </c>
      <c r="HL4" s="89" t="s">
        <v>223</v>
      </c>
      <c r="HM4" s="89" t="s">
        <v>224</v>
      </c>
      <c r="HN4" s="89" t="s">
        <v>149</v>
      </c>
      <c r="HO4" s="89" t="s">
        <v>225</v>
      </c>
      <c r="HP4" s="89" t="s">
        <v>226</v>
      </c>
      <c r="HQ4" s="89" t="s">
        <v>86</v>
      </c>
      <c r="HR4" s="89" t="s">
        <v>227</v>
      </c>
      <c r="HS4" s="89" t="s">
        <v>154</v>
      </c>
      <c r="HT4" s="89" t="s">
        <v>149</v>
      </c>
      <c r="HU4" s="89" t="s">
        <v>228</v>
      </c>
      <c r="HV4" s="89" t="s">
        <v>154</v>
      </c>
      <c r="HW4" s="89" t="s">
        <v>149</v>
      </c>
      <c r="HX4" s="89" t="s">
        <v>229</v>
      </c>
      <c r="HY4" s="89" t="s">
        <v>154</v>
      </c>
      <c r="HZ4" s="89" t="s">
        <v>149</v>
      </c>
      <c r="IA4" s="89" t="s">
        <v>230</v>
      </c>
      <c r="IB4" s="89" t="s">
        <v>154</v>
      </c>
      <c r="IC4" s="89" t="s">
        <v>149</v>
      </c>
      <c r="ID4" s="89" t="s">
        <v>11</v>
      </c>
      <c r="IE4" s="90" t="s">
        <v>88</v>
      </c>
      <c r="IF4" s="90" t="s">
        <v>89</v>
      </c>
      <c r="IG4" s="90" t="s">
        <v>90</v>
      </c>
      <c r="IH4" s="90" t="s">
        <v>91</v>
      </c>
      <c r="II4" s="90" t="s">
        <v>713</v>
      </c>
      <c r="IJ4" s="90" t="s">
        <v>149</v>
      </c>
      <c r="IK4" s="90" t="s">
        <v>92</v>
      </c>
      <c r="IL4" s="90" t="s">
        <v>93</v>
      </c>
      <c r="IM4" s="90" t="s">
        <v>231</v>
      </c>
      <c r="IN4" s="90" t="s">
        <v>232</v>
      </c>
      <c r="IO4" s="90" t="s">
        <v>126</v>
      </c>
      <c r="IP4" s="90" t="s">
        <v>233</v>
      </c>
      <c r="IQ4" s="90" t="s">
        <v>15</v>
      </c>
      <c r="IR4" s="90" t="s">
        <v>218</v>
      </c>
      <c r="IS4" s="90" t="s">
        <v>219</v>
      </c>
      <c r="IT4" s="90" t="s">
        <v>234</v>
      </c>
      <c r="IU4" s="90" t="s">
        <v>235</v>
      </c>
      <c r="IV4" s="90" t="s">
        <v>236</v>
      </c>
      <c r="IW4" s="90" t="s">
        <v>15</v>
      </c>
      <c r="IX4" s="90" t="s">
        <v>218</v>
      </c>
      <c r="IY4" s="90" t="s">
        <v>207</v>
      </c>
      <c r="IZ4" s="90" t="s">
        <v>234</v>
      </c>
      <c r="JA4" s="90" t="s">
        <v>235</v>
      </c>
      <c r="JB4" s="90" t="s">
        <v>237</v>
      </c>
      <c r="JC4" s="90" t="s">
        <v>15</v>
      </c>
      <c r="JD4" s="90" t="s">
        <v>218</v>
      </c>
      <c r="JE4" s="90" t="s">
        <v>207</v>
      </c>
      <c r="JF4" s="90" t="s">
        <v>234</v>
      </c>
      <c r="JG4" s="90" t="s">
        <v>238</v>
      </c>
      <c r="JH4" s="90" t="s">
        <v>239</v>
      </c>
      <c r="JI4" s="90" t="s">
        <v>240</v>
      </c>
      <c r="JJ4" s="90" t="s">
        <v>241</v>
      </c>
      <c r="JK4" s="90" t="s">
        <v>126</v>
      </c>
      <c r="JL4" s="90" t="s">
        <v>242</v>
      </c>
      <c r="JM4" s="90" t="s">
        <v>149</v>
      </c>
      <c r="JN4" s="90" t="s">
        <v>243</v>
      </c>
      <c r="JO4" s="90" t="s">
        <v>161</v>
      </c>
      <c r="JP4" s="90" t="s">
        <v>218</v>
      </c>
      <c r="JQ4" s="90" t="s">
        <v>207</v>
      </c>
      <c r="JR4" s="90" t="s">
        <v>234</v>
      </c>
      <c r="JS4" s="90" t="s">
        <v>244</v>
      </c>
      <c r="JT4" s="90" t="s">
        <v>161</v>
      </c>
      <c r="JU4" s="90" t="s">
        <v>218</v>
      </c>
      <c r="JV4" s="90" t="s">
        <v>207</v>
      </c>
      <c r="JW4" s="90" t="s">
        <v>234</v>
      </c>
      <c r="JX4" s="90" t="s">
        <v>245</v>
      </c>
      <c r="JY4" s="90" t="s">
        <v>161</v>
      </c>
      <c r="JZ4" s="90" t="s">
        <v>218</v>
      </c>
      <c r="KA4" s="90" t="s">
        <v>207</v>
      </c>
      <c r="KB4" s="90" t="s">
        <v>234</v>
      </c>
      <c r="KC4" s="90" t="s">
        <v>246</v>
      </c>
      <c r="KD4" s="90" t="s">
        <v>247</v>
      </c>
      <c r="KE4" s="90" t="s">
        <v>218</v>
      </c>
      <c r="KF4" s="90" t="s">
        <v>207</v>
      </c>
      <c r="KG4" s="90" t="s">
        <v>234</v>
      </c>
      <c r="KH4" s="90" t="s">
        <v>248</v>
      </c>
      <c r="KI4" s="90" t="s">
        <v>15</v>
      </c>
      <c r="KJ4" s="90" t="s">
        <v>218</v>
      </c>
      <c r="KK4" s="90" t="s">
        <v>207</v>
      </c>
      <c r="KL4" s="90" t="s">
        <v>234</v>
      </c>
      <c r="KM4" s="90" t="s">
        <v>249</v>
      </c>
      <c r="KN4" s="90" t="s">
        <v>250</v>
      </c>
      <c r="KO4" s="90" t="s">
        <v>15</v>
      </c>
      <c r="KP4" s="90" t="s">
        <v>218</v>
      </c>
      <c r="KQ4" s="90" t="s">
        <v>207</v>
      </c>
      <c r="KR4" s="90" t="s">
        <v>251</v>
      </c>
      <c r="KS4" s="90" t="s">
        <v>234</v>
      </c>
      <c r="KT4" s="90" t="s">
        <v>252</v>
      </c>
      <c r="KU4" s="90" t="s">
        <v>253</v>
      </c>
      <c r="KV4" s="90" t="s">
        <v>254</v>
      </c>
      <c r="KW4" s="90" t="s">
        <v>207</v>
      </c>
      <c r="KX4" s="90" t="s">
        <v>255</v>
      </c>
      <c r="KY4" s="90" t="s">
        <v>256</v>
      </c>
      <c r="KZ4" s="90" t="s">
        <v>257</v>
      </c>
      <c r="LA4" s="90" t="s">
        <v>218</v>
      </c>
      <c r="LB4" s="90" t="s">
        <v>207</v>
      </c>
      <c r="LC4" s="90" t="s">
        <v>258</v>
      </c>
      <c r="LD4" s="90" t="s">
        <v>234</v>
      </c>
      <c r="LE4" s="90" t="s">
        <v>259</v>
      </c>
      <c r="LF4" s="90" t="s">
        <v>161</v>
      </c>
      <c r="LG4" s="90" t="s">
        <v>218</v>
      </c>
      <c r="LH4" s="90" t="s">
        <v>207</v>
      </c>
      <c r="LI4" s="90" t="s">
        <v>258</v>
      </c>
      <c r="LJ4" s="90" t="s">
        <v>126</v>
      </c>
      <c r="LK4" s="90" t="s">
        <v>234</v>
      </c>
      <c r="LL4" s="90" t="s">
        <v>260</v>
      </c>
      <c r="LM4" s="90" t="s">
        <v>161</v>
      </c>
      <c r="LN4" s="90" t="s">
        <v>218</v>
      </c>
      <c r="LO4" s="90" t="s">
        <v>207</v>
      </c>
      <c r="LP4" s="90" t="s">
        <v>258</v>
      </c>
      <c r="LQ4" s="90" t="s">
        <v>234</v>
      </c>
      <c r="LR4" s="90" t="s">
        <v>261</v>
      </c>
      <c r="LS4" s="90" t="s">
        <v>161</v>
      </c>
      <c r="LT4" s="90" t="s">
        <v>218</v>
      </c>
      <c r="LU4" s="90" t="s">
        <v>207</v>
      </c>
      <c r="LV4" s="90" t="s">
        <v>258</v>
      </c>
      <c r="LW4" s="90" t="s">
        <v>234</v>
      </c>
      <c r="LX4" s="90" t="s">
        <v>262</v>
      </c>
      <c r="LY4" s="90" t="s">
        <v>161</v>
      </c>
      <c r="LZ4" s="90" t="s">
        <v>218</v>
      </c>
      <c r="MA4" s="90" t="s">
        <v>207</v>
      </c>
      <c r="MB4" s="90" t="s">
        <v>258</v>
      </c>
      <c r="MC4" s="90" t="s">
        <v>234</v>
      </c>
      <c r="MD4" s="90" t="s">
        <v>263</v>
      </c>
      <c r="ME4" s="90" t="s">
        <v>161</v>
      </c>
      <c r="MF4" s="90" t="s">
        <v>218</v>
      </c>
      <c r="MG4" s="90" t="s">
        <v>207</v>
      </c>
      <c r="MH4" s="90" t="s">
        <v>258</v>
      </c>
      <c r="MI4" s="90" t="s">
        <v>234</v>
      </c>
      <c r="MJ4" s="90" t="s">
        <v>264</v>
      </c>
      <c r="MK4" s="90" t="s">
        <v>265</v>
      </c>
      <c r="ML4" s="90" t="s">
        <v>15</v>
      </c>
      <c r="MM4" s="90" t="s">
        <v>218</v>
      </c>
      <c r="MN4" s="90" t="s">
        <v>207</v>
      </c>
      <c r="MO4" s="90" t="s">
        <v>266</v>
      </c>
      <c r="MP4" s="90" t="s">
        <v>149</v>
      </c>
      <c r="MQ4" s="90" t="s">
        <v>234</v>
      </c>
      <c r="MR4" s="90" t="s">
        <v>267</v>
      </c>
      <c r="MS4" s="90" t="s">
        <v>15</v>
      </c>
      <c r="MT4" s="90" t="s">
        <v>218</v>
      </c>
      <c r="MU4" s="90" t="s">
        <v>207</v>
      </c>
      <c r="MV4" s="90" t="s">
        <v>266</v>
      </c>
      <c r="MW4" s="90" t="s">
        <v>149</v>
      </c>
      <c r="MX4" s="90" t="s">
        <v>234</v>
      </c>
      <c r="MY4" s="90" t="s">
        <v>268</v>
      </c>
      <c r="MZ4" s="90" t="s">
        <v>15</v>
      </c>
      <c r="NA4" s="90" t="s">
        <v>218</v>
      </c>
      <c r="NB4" s="90" t="s">
        <v>207</v>
      </c>
      <c r="NC4" s="90" t="s">
        <v>234</v>
      </c>
      <c r="ND4" s="90" t="s">
        <v>161</v>
      </c>
      <c r="NE4" s="90" t="s">
        <v>218</v>
      </c>
      <c r="NF4" s="90" t="s">
        <v>207</v>
      </c>
      <c r="NG4" s="90" t="s">
        <v>234</v>
      </c>
      <c r="NH4" s="90" t="s">
        <v>269</v>
      </c>
      <c r="NI4" s="90" t="s">
        <v>161</v>
      </c>
      <c r="NJ4" s="90" t="s">
        <v>218</v>
      </c>
      <c r="NK4" s="90" t="s">
        <v>207</v>
      </c>
      <c r="NL4" s="90" t="s">
        <v>234</v>
      </c>
      <c r="NM4" s="90" t="s">
        <v>270</v>
      </c>
      <c r="NN4" s="90" t="s">
        <v>15</v>
      </c>
      <c r="NO4" s="90" t="s">
        <v>218</v>
      </c>
      <c r="NP4" s="90" t="s">
        <v>207</v>
      </c>
      <c r="NQ4" s="90" t="s">
        <v>234</v>
      </c>
      <c r="NR4" s="90" t="s">
        <v>271</v>
      </c>
      <c r="NS4" s="90" t="s">
        <v>272</v>
      </c>
      <c r="NT4" s="90" t="s">
        <v>218</v>
      </c>
      <c r="NU4" s="90" t="s">
        <v>207</v>
      </c>
      <c r="NV4" s="90" t="s">
        <v>234</v>
      </c>
      <c r="NW4" s="90" t="s">
        <v>273</v>
      </c>
      <c r="NX4" s="90" t="s">
        <v>274</v>
      </c>
      <c r="NY4" s="90" t="s">
        <v>218</v>
      </c>
      <c r="NZ4" s="90" t="s">
        <v>207</v>
      </c>
      <c r="OA4" s="90" t="s">
        <v>234</v>
      </c>
      <c r="OB4" s="90" t="s">
        <v>275</v>
      </c>
      <c r="OC4" s="90" t="s">
        <v>15</v>
      </c>
      <c r="OD4" s="90" t="s">
        <v>218</v>
      </c>
      <c r="OE4" s="90" t="s">
        <v>207</v>
      </c>
      <c r="OF4" s="90" t="s">
        <v>234</v>
      </c>
      <c r="OG4" s="90" t="s">
        <v>276</v>
      </c>
      <c r="OH4" s="90" t="s">
        <v>15</v>
      </c>
      <c r="OI4" s="90" t="s">
        <v>218</v>
      </c>
      <c r="OJ4" s="90" t="s">
        <v>207</v>
      </c>
      <c r="OK4" s="90" t="s">
        <v>234</v>
      </c>
      <c r="OL4" s="90" t="s">
        <v>277</v>
      </c>
      <c r="OM4" s="90" t="s">
        <v>15</v>
      </c>
      <c r="ON4" s="90" t="s">
        <v>218</v>
      </c>
      <c r="OO4" s="90" t="s">
        <v>207</v>
      </c>
      <c r="OP4" s="90" t="s">
        <v>266</v>
      </c>
      <c r="OQ4" s="90" t="s">
        <v>278</v>
      </c>
      <c r="OR4" s="90" t="s">
        <v>234</v>
      </c>
      <c r="OS4" s="90" t="s">
        <v>279</v>
      </c>
      <c r="OT4" s="90" t="s">
        <v>15</v>
      </c>
      <c r="OU4" s="90" t="s">
        <v>218</v>
      </c>
      <c r="OV4" s="90" t="s">
        <v>207</v>
      </c>
      <c r="OW4" s="90" t="s">
        <v>266</v>
      </c>
      <c r="OX4" s="90" t="s">
        <v>278</v>
      </c>
      <c r="OY4" s="90" t="s">
        <v>234</v>
      </c>
      <c r="OZ4" s="90" t="s">
        <v>280</v>
      </c>
      <c r="PA4" s="90" t="s">
        <v>281</v>
      </c>
      <c r="PB4" s="90" t="s">
        <v>15</v>
      </c>
      <c r="PC4" s="90" t="s">
        <v>194</v>
      </c>
      <c r="PD4" s="90" t="s">
        <v>218</v>
      </c>
      <c r="PE4" s="90" t="s">
        <v>207</v>
      </c>
      <c r="PF4" s="90" t="s">
        <v>282</v>
      </c>
      <c r="PG4" s="90" t="s">
        <v>283</v>
      </c>
      <c r="PH4" s="90" t="s">
        <v>234</v>
      </c>
      <c r="PI4" s="90" t="s">
        <v>284</v>
      </c>
      <c r="PJ4" s="90" t="s">
        <v>15</v>
      </c>
      <c r="PK4" s="90" t="s">
        <v>194</v>
      </c>
      <c r="PL4" s="90" t="s">
        <v>218</v>
      </c>
      <c r="PM4" s="90" t="s">
        <v>207</v>
      </c>
      <c r="PN4" s="90" t="s">
        <v>282</v>
      </c>
      <c r="PO4" s="90" t="s">
        <v>176</v>
      </c>
      <c r="PP4" s="90" t="s">
        <v>145</v>
      </c>
      <c r="PQ4" s="90" t="s">
        <v>234</v>
      </c>
      <c r="PR4" s="90" t="s">
        <v>285</v>
      </c>
      <c r="PS4" s="90" t="s">
        <v>286</v>
      </c>
      <c r="PT4" s="90" t="s">
        <v>15</v>
      </c>
      <c r="PU4" s="90" t="s">
        <v>194</v>
      </c>
      <c r="PV4" s="90" t="s">
        <v>218</v>
      </c>
      <c r="PW4" s="90" t="s">
        <v>207</v>
      </c>
      <c r="PX4" s="90" t="s">
        <v>234</v>
      </c>
      <c r="PY4" s="90" t="s">
        <v>287</v>
      </c>
      <c r="PZ4" s="90" t="s">
        <v>15</v>
      </c>
      <c r="QA4" s="90" t="s">
        <v>194</v>
      </c>
      <c r="QB4" s="90" t="s">
        <v>218</v>
      </c>
      <c r="QC4" s="90" t="s">
        <v>207</v>
      </c>
      <c r="QD4" s="90" t="s">
        <v>234</v>
      </c>
      <c r="QE4" s="90" t="s">
        <v>288</v>
      </c>
      <c r="QF4" s="90" t="s">
        <v>15</v>
      </c>
      <c r="QG4" s="90" t="s">
        <v>218</v>
      </c>
      <c r="QH4" s="90" t="s">
        <v>207</v>
      </c>
      <c r="QI4" s="90" t="s">
        <v>234</v>
      </c>
      <c r="QJ4" s="90" t="s">
        <v>289</v>
      </c>
      <c r="QK4" s="90" t="s">
        <v>15</v>
      </c>
      <c r="QL4" s="90" t="s">
        <v>218</v>
      </c>
      <c r="QM4" s="90" t="s">
        <v>207</v>
      </c>
      <c r="QN4" s="90" t="s">
        <v>290</v>
      </c>
      <c r="QO4" s="90" t="s">
        <v>234</v>
      </c>
      <c r="QP4" s="90" t="s">
        <v>291</v>
      </c>
      <c r="QQ4" s="90" t="s">
        <v>15</v>
      </c>
      <c r="QR4" s="90" t="s">
        <v>218</v>
      </c>
      <c r="QS4" s="90" t="s">
        <v>207</v>
      </c>
      <c r="QT4" s="90" t="s">
        <v>194</v>
      </c>
      <c r="QU4" s="90" t="s">
        <v>234</v>
      </c>
      <c r="QV4" s="90" t="s">
        <v>292</v>
      </c>
      <c r="QW4" s="90" t="s">
        <v>15</v>
      </c>
      <c r="QX4" s="90" t="s">
        <v>218</v>
      </c>
      <c r="QY4" s="90" t="s">
        <v>207</v>
      </c>
      <c r="QZ4" s="90" t="s">
        <v>194</v>
      </c>
      <c r="RA4" s="90" t="s">
        <v>234</v>
      </c>
      <c r="RB4" s="90" t="s">
        <v>293</v>
      </c>
      <c r="RC4" s="90" t="s">
        <v>294</v>
      </c>
      <c r="RD4" s="90" t="s">
        <v>126</v>
      </c>
      <c r="RE4" s="90" t="s">
        <v>11</v>
      </c>
      <c r="RF4" s="87" t="s">
        <v>96</v>
      </c>
      <c r="RG4" s="87" t="s">
        <v>97</v>
      </c>
      <c r="RH4" s="87" t="s">
        <v>295</v>
      </c>
      <c r="RI4" s="87" t="s">
        <v>98</v>
      </c>
      <c r="RJ4" s="87" t="s">
        <v>295</v>
      </c>
      <c r="RK4" s="87" t="s">
        <v>296</v>
      </c>
      <c r="RL4" s="87" t="s">
        <v>297</v>
      </c>
      <c r="RM4" s="87" t="s">
        <v>298</v>
      </c>
      <c r="RN4" s="87" t="s">
        <v>299</v>
      </c>
      <c r="RO4" s="87" t="s">
        <v>300</v>
      </c>
      <c r="RP4" s="87" t="s">
        <v>298</v>
      </c>
      <c r="RQ4" s="87" t="s">
        <v>301</v>
      </c>
      <c r="RR4" s="87" t="s">
        <v>145</v>
      </c>
      <c r="RS4" s="87" t="s">
        <v>302</v>
      </c>
      <c r="RT4" s="87" t="s">
        <v>126</v>
      </c>
      <c r="RU4" s="87" t="s">
        <v>303</v>
      </c>
      <c r="RV4" s="87" t="s">
        <v>304</v>
      </c>
      <c r="RW4" s="87" t="s">
        <v>305</v>
      </c>
      <c r="RX4" s="87" t="s">
        <v>306</v>
      </c>
      <c r="RY4" s="87" t="s">
        <v>307</v>
      </c>
      <c r="RZ4" s="87" t="s">
        <v>308</v>
      </c>
      <c r="SA4" s="87" t="s">
        <v>15</v>
      </c>
      <c r="SB4" s="87" t="s">
        <v>309</v>
      </c>
      <c r="SC4" s="87" t="s">
        <v>145</v>
      </c>
      <c r="SD4" s="87" t="s">
        <v>310</v>
      </c>
      <c r="SE4" s="87" t="s">
        <v>149</v>
      </c>
      <c r="SF4" s="87" t="s">
        <v>311</v>
      </c>
      <c r="SG4" s="87" t="s">
        <v>312</v>
      </c>
      <c r="SH4" s="87" t="s">
        <v>313</v>
      </c>
      <c r="SI4" s="87" t="s">
        <v>126</v>
      </c>
      <c r="SJ4" s="87" t="s">
        <v>314</v>
      </c>
      <c r="SK4" s="87" t="s">
        <v>126</v>
      </c>
      <c r="SL4" s="87" t="s">
        <v>315</v>
      </c>
      <c r="SM4" s="87" t="s">
        <v>316</v>
      </c>
      <c r="SN4" s="87" t="s">
        <v>317</v>
      </c>
      <c r="SO4" s="87" t="s">
        <v>126</v>
      </c>
      <c r="SP4" s="87" t="s">
        <v>318</v>
      </c>
      <c r="SQ4" s="87" t="s">
        <v>126</v>
      </c>
      <c r="SR4" s="87" t="s">
        <v>319</v>
      </c>
      <c r="SS4" s="87" t="s">
        <v>126</v>
      </c>
      <c r="ST4" s="87" t="s">
        <v>320</v>
      </c>
      <c r="SU4" s="87" t="s">
        <v>126</v>
      </c>
      <c r="SV4" s="87" t="s">
        <v>321</v>
      </c>
      <c r="SW4" s="87" t="s">
        <v>145</v>
      </c>
      <c r="SX4" s="87" t="s">
        <v>322</v>
      </c>
      <c r="SY4" s="87" t="s">
        <v>323</v>
      </c>
      <c r="SZ4" s="87" t="s">
        <v>324</v>
      </c>
      <c r="TA4" s="87" t="s">
        <v>325</v>
      </c>
      <c r="TB4" s="87" t="s">
        <v>324</v>
      </c>
      <c r="TC4" s="87" t="s">
        <v>326</v>
      </c>
      <c r="TD4" s="87" t="s">
        <v>324</v>
      </c>
      <c r="TE4" s="87" t="s">
        <v>100</v>
      </c>
      <c r="TF4" s="87" t="s">
        <v>149</v>
      </c>
      <c r="TG4" s="87" t="s">
        <v>327</v>
      </c>
      <c r="TH4" s="87" t="s">
        <v>328</v>
      </c>
      <c r="TI4" s="87" t="s">
        <v>329</v>
      </c>
      <c r="TJ4" s="87" t="s">
        <v>330</v>
      </c>
      <c r="TK4" s="87" t="s">
        <v>331</v>
      </c>
      <c r="TL4" s="87" t="s">
        <v>101</v>
      </c>
      <c r="TM4" s="87" t="s">
        <v>149</v>
      </c>
      <c r="TN4" s="87" t="s">
        <v>327</v>
      </c>
      <c r="TO4" s="87" t="s">
        <v>328</v>
      </c>
      <c r="TP4" s="87" t="s">
        <v>329</v>
      </c>
      <c r="TQ4" s="87" t="s">
        <v>330</v>
      </c>
      <c r="TR4" s="87" t="s">
        <v>332</v>
      </c>
      <c r="TS4" s="87" t="s">
        <v>102</v>
      </c>
      <c r="TT4" s="87" t="s">
        <v>126</v>
      </c>
      <c r="TU4" s="87" t="s">
        <v>99</v>
      </c>
      <c r="TV4" s="87" t="s">
        <v>333</v>
      </c>
      <c r="TW4" s="87" t="s">
        <v>145</v>
      </c>
      <c r="TX4" s="87" t="s">
        <v>334</v>
      </c>
      <c r="TY4" s="87" t="s">
        <v>335</v>
      </c>
      <c r="TZ4" s="87" t="s">
        <v>336</v>
      </c>
      <c r="UA4" s="87" t="s">
        <v>337</v>
      </c>
      <c r="UB4" s="87" t="s">
        <v>338</v>
      </c>
      <c r="UC4" s="87" t="s">
        <v>339</v>
      </c>
      <c r="UD4" s="87" t="s">
        <v>340</v>
      </c>
      <c r="UE4" s="87" t="s">
        <v>341</v>
      </c>
      <c r="UF4" s="87" t="s">
        <v>342</v>
      </c>
      <c r="UG4" s="87" t="s">
        <v>343</v>
      </c>
      <c r="UH4" s="87" t="s">
        <v>344</v>
      </c>
      <c r="UI4" s="87" t="s">
        <v>345</v>
      </c>
      <c r="UJ4" s="87" t="s">
        <v>346</v>
      </c>
      <c r="UK4" s="87" t="s">
        <v>347</v>
      </c>
      <c r="UL4" s="87" t="s">
        <v>348</v>
      </c>
      <c r="UM4" s="87" t="s">
        <v>349</v>
      </c>
      <c r="UN4" s="87" t="s">
        <v>712</v>
      </c>
      <c r="UO4" s="87" t="s">
        <v>350</v>
      </c>
      <c r="UP4" s="87" t="s">
        <v>351</v>
      </c>
      <c r="UQ4" s="87" t="s">
        <v>352</v>
      </c>
      <c r="UR4" s="87" t="s">
        <v>353</v>
      </c>
      <c r="US4" s="87" t="s">
        <v>354</v>
      </c>
      <c r="UT4" s="87" t="s">
        <v>355</v>
      </c>
      <c r="UU4" s="87" t="s">
        <v>356</v>
      </c>
      <c r="UV4" s="87" t="s">
        <v>357</v>
      </c>
      <c r="UW4" s="87" t="s">
        <v>358</v>
      </c>
      <c r="UX4" s="87" t="s">
        <v>145</v>
      </c>
      <c r="UY4" s="87" t="s">
        <v>359</v>
      </c>
      <c r="UZ4" s="87" t="s">
        <v>360</v>
      </c>
      <c r="VA4" s="87" t="s">
        <v>361</v>
      </c>
      <c r="VB4" s="87" t="s">
        <v>362</v>
      </c>
      <c r="VC4" s="87" t="s">
        <v>363</v>
      </c>
      <c r="VD4" s="87" t="s">
        <v>364</v>
      </c>
      <c r="VE4" s="87" t="s">
        <v>365</v>
      </c>
      <c r="VF4" s="87" t="s">
        <v>366</v>
      </c>
      <c r="VG4" s="87" t="s">
        <v>367</v>
      </c>
      <c r="VH4" s="87" t="s">
        <v>368</v>
      </c>
      <c r="VI4" s="87" t="s">
        <v>369</v>
      </c>
      <c r="VJ4" s="87" t="s">
        <v>370</v>
      </c>
      <c r="VK4" s="87" t="s">
        <v>126</v>
      </c>
      <c r="VL4" s="87" t="s">
        <v>371</v>
      </c>
      <c r="VM4" s="87" t="s">
        <v>372</v>
      </c>
      <c r="VN4" s="87" t="s">
        <v>373</v>
      </c>
      <c r="VO4" s="87" t="s">
        <v>374</v>
      </c>
      <c r="VP4" s="87" t="s">
        <v>145</v>
      </c>
      <c r="VQ4" s="87" t="s">
        <v>375</v>
      </c>
      <c r="VR4" s="87" t="s">
        <v>145</v>
      </c>
      <c r="VS4" s="87" t="s">
        <v>376</v>
      </c>
      <c r="VT4" s="87" t="s">
        <v>145</v>
      </c>
      <c r="VU4" s="87" t="s">
        <v>377</v>
      </c>
      <c r="VV4" s="87" t="s">
        <v>145</v>
      </c>
      <c r="VW4" s="87" t="s">
        <v>378</v>
      </c>
      <c r="VX4" s="87" t="s">
        <v>145</v>
      </c>
      <c r="VY4" s="87" t="s">
        <v>379</v>
      </c>
      <c r="VZ4" s="87" t="s">
        <v>145</v>
      </c>
      <c r="WA4" s="87" t="s">
        <v>380</v>
      </c>
      <c r="WB4" s="87" t="s">
        <v>350</v>
      </c>
      <c r="WC4" s="87" t="s">
        <v>381</v>
      </c>
      <c r="WD4" s="87" t="s">
        <v>382</v>
      </c>
      <c r="WE4" s="87" t="s">
        <v>103</v>
      </c>
      <c r="WF4" s="87" t="s">
        <v>383</v>
      </c>
      <c r="WG4" s="87" t="s">
        <v>145</v>
      </c>
      <c r="WH4" s="87" t="s">
        <v>384</v>
      </c>
      <c r="WI4" s="87" t="s">
        <v>385</v>
      </c>
      <c r="WJ4" s="87" t="s">
        <v>104</v>
      </c>
      <c r="WK4" s="87" t="s">
        <v>386</v>
      </c>
      <c r="WL4" s="87" t="s">
        <v>387</v>
      </c>
      <c r="WM4" s="87" t="s">
        <v>194</v>
      </c>
      <c r="WN4" s="87" t="s">
        <v>388</v>
      </c>
      <c r="WO4" s="87" t="s">
        <v>389</v>
      </c>
      <c r="WP4" s="87" t="s">
        <v>390</v>
      </c>
      <c r="WQ4" s="87" t="s">
        <v>387</v>
      </c>
      <c r="WR4" s="87" t="s">
        <v>391</v>
      </c>
      <c r="WS4" s="87" t="s">
        <v>392</v>
      </c>
      <c r="WT4" s="87" t="s">
        <v>388</v>
      </c>
      <c r="WU4" s="87" t="s">
        <v>393</v>
      </c>
      <c r="WV4" s="87" t="s">
        <v>387</v>
      </c>
      <c r="WW4" s="87" t="s">
        <v>391</v>
      </c>
      <c r="WX4" s="87" t="s">
        <v>392</v>
      </c>
      <c r="WY4" s="87" t="s">
        <v>388</v>
      </c>
      <c r="WZ4" s="87" t="s">
        <v>394</v>
      </c>
      <c r="XA4" s="87" t="s">
        <v>395</v>
      </c>
      <c r="XB4" s="87" t="s">
        <v>396</v>
      </c>
      <c r="XC4" s="87" t="s">
        <v>11</v>
      </c>
      <c r="XD4" s="91" t="s">
        <v>106</v>
      </c>
      <c r="XE4" s="91" t="s">
        <v>397</v>
      </c>
      <c r="XF4" s="91" t="s">
        <v>398</v>
      </c>
      <c r="XG4" s="91" t="s">
        <v>399</v>
      </c>
      <c r="XH4" s="91" t="s">
        <v>126</v>
      </c>
      <c r="XI4" s="91" t="s">
        <v>400</v>
      </c>
      <c r="XJ4" s="91" t="s">
        <v>126</v>
      </c>
      <c r="XK4" s="91" t="s">
        <v>401</v>
      </c>
      <c r="XL4" s="91" t="s">
        <v>126</v>
      </c>
      <c r="XM4" s="91" t="s">
        <v>402</v>
      </c>
      <c r="XN4" s="91" t="s">
        <v>161</v>
      </c>
      <c r="XO4" s="91" t="s">
        <v>403</v>
      </c>
      <c r="XP4" s="91" t="s">
        <v>404</v>
      </c>
      <c r="XQ4" s="91" t="s">
        <v>207</v>
      </c>
      <c r="XR4" s="91" t="s">
        <v>405</v>
      </c>
      <c r="XS4" s="91" t="s">
        <v>207</v>
      </c>
      <c r="XT4" s="91" t="s">
        <v>406</v>
      </c>
      <c r="XU4" s="91" t="s">
        <v>407</v>
      </c>
      <c r="XV4" s="91" t="s">
        <v>408</v>
      </c>
      <c r="XW4" s="91" t="s">
        <v>409</v>
      </c>
      <c r="XX4" s="91" t="s">
        <v>410</v>
      </c>
      <c r="XY4" s="91" t="s">
        <v>411</v>
      </c>
      <c r="XZ4" s="91" t="s">
        <v>149</v>
      </c>
      <c r="YA4" s="91" t="s">
        <v>412</v>
      </c>
      <c r="YB4" s="91" t="s">
        <v>413</v>
      </c>
      <c r="YC4" s="91" t="s">
        <v>414</v>
      </c>
      <c r="YD4" s="91" t="s">
        <v>415</v>
      </c>
      <c r="YE4" s="91" t="s">
        <v>416</v>
      </c>
      <c r="YF4" s="91" t="s">
        <v>417</v>
      </c>
      <c r="YG4" s="91" t="s">
        <v>126</v>
      </c>
      <c r="YH4" s="91" t="s">
        <v>418</v>
      </c>
      <c r="YI4" s="91" t="s">
        <v>126</v>
      </c>
      <c r="YJ4" s="91" t="s">
        <v>419</v>
      </c>
      <c r="YK4" s="91" t="s">
        <v>126</v>
      </c>
      <c r="YL4" s="91" t="s">
        <v>420</v>
      </c>
      <c r="YM4" s="91" t="s">
        <v>421</v>
      </c>
      <c r="YN4" s="91" t="s">
        <v>422</v>
      </c>
      <c r="YO4" s="91" t="s">
        <v>126</v>
      </c>
      <c r="YP4" s="91" t="s">
        <v>108</v>
      </c>
      <c r="YQ4" s="91" t="s">
        <v>423</v>
      </c>
      <c r="YR4" s="91" t="s">
        <v>126</v>
      </c>
      <c r="YS4" s="91" t="s">
        <v>424</v>
      </c>
      <c r="YT4" s="91" t="s">
        <v>168</v>
      </c>
      <c r="YU4" s="91" t="s">
        <v>425</v>
      </c>
      <c r="YV4" s="91" t="s">
        <v>426</v>
      </c>
      <c r="YW4" s="91" t="s">
        <v>427</v>
      </c>
      <c r="YX4" s="91" t="s">
        <v>149</v>
      </c>
      <c r="YY4" s="91" t="s">
        <v>428</v>
      </c>
      <c r="YZ4" s="91" t="s">
        <v>109</v>
      </c>
      <c r="ZA4" s="91" t="s">
        <v>429</v>
      </c>
      <c r="ZB4" s="91" t="s">
        <v>430</v>
      </c>
      <c r="ZC4" s="91" t="s">
        <v>431</v>
      </c>
      <c r="ZD4" s="91" t="s">
        <v>432</v>
      </c>
      <c r="ZE4" s="91" t="s">
        <v>433</v>
      </c>
      <c r="ZF4" s="91" t="s">
        <v>434</v>
      </c>
      <c r="ZG4" s="91" t="s">
        <v>434</v>
      </c>
      <c r="ZH4" s="91" t="s">
        <v>207</v>
      </c>
      <c r="ZI4" s="91" t="s">
        <v>435</v>
      </c>
      <c r="ZJ4" s="91" t="s">
        <v>436</v>
      </c>
      <c r="ZK4" s="91" t="s">
        <v>437</v>
      </c>
      <c r="ZL4" s="91" t="s">
        <v>149</v>
      </c>
      <c r="ZM4" s="91" t="s">
        <v>438</v>
      </c>
      <c r="ZN4" s="91" t="s">
        <v>149</v>
      </c>
      <c r="ZO4" s="91" t="s">
        <v>438</v>
      </c>
      <c r="ZP4" s="91" t="s">
        <v>149</v>
      </c>
      <c r="ZQ4" s="91" t="s">
        <v>439</v>
      </c>
      <c r="ZR4" s="91" t="s">
        <v>149</v>
      </c>
      <c r="ZS4" s="91" t="s">
        <v>207</v>
      </c>
      <c r="ZT4" s="91" t="s">
        <v>440</v>
      </c>
      <c r="ZU4" s="91" t="s">
        <v>149</v>
      </c>
      <c r="ZV4" s="91" t="s">
        <v>441</v>
      </c>
      <c r="ZW4" s="91" t="s">
        <v>442</v>
      </c>
      <c r="ZX4" s="91" t="s">
        <v>207</v>
      </c>
      <c r="ZY4" s="91" t="s">
        <v>443</v>
      </c>
      <c r="ZZ4" s="91" t="s">
        <v>149</v>
      </c>
      <c r="AAA4" s="91" t="s">
        <v>207</v>
      </c>
      <c r="AAB4" s="91" t="s">
        <v>444</v>
      </c>
      <c r="AAC4" s="91" t="s">
        <v>149</v>
      </c>
      <c r="AAD4" s="91" t="s">
        <v>445</v>
      </c>
      <c r="AAE4" s="91" t="s">
        <v>442</v>
      </c>
      <c r="AAF4" s="91" t="s">
        <v>207</v>
      </c>
      <c r="AAG4" s="91" t="s">
        <v>446</v>
      </c>
      <c r="AAH4" s="91" t="s">
        <v>149</v>
      </c>
      <c r="AAI4" s="91" t="s">
        <v>447</v>
      </c>
      <c r="AAJ4" s="91" t="s">
        <v>149</v>
      </c>
      <c r="AAK4" s="91" t="s">
        <v>11</v>
      </c>
      <c r="AAL4" s="92" t="s">
        <v>111</v>
      </c>
      <c r="AAM4" s="92" t="s">
        <v>448</v>
      </c>
      <c r="AAN4" s="92" t="s">
        <v>449</v>
      </c>
      <c r="AAO4" s="92" t="s">
        <v>450</v>
      </c>
      <c r="AAP4" s="92" t="s">
        <v>350</v>
      </c>
      <c r="AAQ4" s="92" t="s">
        <v>451</v>
      </c>
      <c r="AAR4" s="92" t="s">
        <v>452</v>
      </c>
      <c r="AAS4" s="92" t="s">
        <v>453</v>
      </c>
      <c r="AAT4" s="92" t="s">
        <v>454</v>
      </c>
      <c r="AAU4" s="92" t="s">
        <v>455</v>
      </c>
      <c r="AAV4" s="92" t="s">
        <v>456</v>
      </c>
      <c r="AAW4" s="92" t="s">
        <v>457</v>
      </c>
      <c r="AAX4" s="92" t="s">
        <v>458</v>
      </c>
      <c r="AAY4" s="92" t="s">
        <v>459</v>
      </c>
      <c r="AAZ4" s="92" t="s">
        <v>460</v>
      </c>
      <c r="ABA4" s="92" t="s">
        <v>461</v>
      </c>
      <c r="ABB4" s="92" t="s">
        <v>462</v>
      </c>
      <c r="ABC4" s="92" t="s">
        <v>463</v>
      </c>
      <c r="ABD4" s="92" t="s">
        <v>464</v>
      </c>
      <c r="ABE4" s="92" t="s">
        <v>465</v>
      </c>
      <c r="ABF4" s="92" t="s">
        <v>466</v>
      </c>
      <c r="ABG4" s="92" t="s">
        <v>467</v>
      </c>
      <c r="ABH4" s="92" t="s">
        <v>145</v>
      </c>
      <c r="ABI4" s="92" t="s">
        <v>468</v>
      </c>
      <c r="ABJ4" s="92" t="s">
        <v>145</v>
      </c>
      <c r="ABK4" s="92" t="s">
        <v>469</v>
      </c>
      <c r="ABL4" s="92" t="s">
        <v>470</v>
      </c>
      <c r="ABM4" s="92" t="s">
        <v>471</v>
      </c>
      <c r="ABN4" s="92" t="s">
        <v>11</v>
      </c>
      <c r="ABO4" s="93" t="s">
        <v>113</v>
      </c>
      <c r="ABP4" s="93" t="s">
        <v>472</v>
      </c>
      <c r="ABQ4" s="93" t="s">
        <v>473</v>
      </c>
      <c r="ABR4" s="93" t="s">
        <v>15</v>
      </c>
      <c r="ABS4" s="93" t="s">
        <v>474</v>
      </c>
      <c r="ABT4" s="93" t="s">
        <v>475</v>
      </c>
      <c r="ABU4" s="93" t="s">
        <v>476</v>
      </c>
      <c r="ABV4" s="93" t="s">
        <v>15</v>
      </c>
      <c r="ABW4" s="93" t="s">
        <v>145</v>
      </c>
      <c r="ABX4" s="93" t="s">
        <v>477</v>
      </c>
      <c r="ABY4" s="93" t="s">
        <v>476</v>
      </c>
      <c r="ABZ4" s="93" t="s">
        <v>15</v>
      </c>
      <c r="ACA4" s="93" t="s">
        <v>145</v>
      </c>
      <c r="ACB4" s="93" t="s">
        <v>478</v>
      </c>
      <c r="ACC4" s="93" t="s">
        <v>145</v>
      </c>
      <c r="ACD4" s="93" t="s">
        <v>15</v>
      </c>
      <c r="ACE4" s="93" t="s">
        <v>479</v>
      </c>
      <c r="ACF4" s="93" t="s">
        <v>480</v>
      </c>
      <c r="ACG4" s="93" t="s">
        <v>481</v>
      </c>
      <c r="ACH4" s="93" t="s">
        <v>145</v>
      </c>
      <c r="ACI4" s="93" t="s">
        <v>482</v>
      </c>
      <c r="ACJ4" s="93" t="s">
        <v>480</v>
      </c>
      <c r="ACK4" s="93" t="s">
        <v>483</v>
      </c>
      <c r="ACL4" s="93" t="s">
        <v>484</v>
      </c>
      <c r="ACM4" s="93" t="s">
        <v>145</v>
      </c>
      <c r="ACN4" s="93" t="s">
        <v>485</v>
      </c>
      <c r="ACO4" s="93" t="s">
        <v>480</v>
      </c>
      <c r="ACP4" s="93" t="s">
        <v>483</v>
      </c>
      <c r="ACQ4" s="93" t="s">
        <v>486</v>
      </c>
      <c r="ACR4" s="93" t="s">
        <v>145</v>
      </c>
      <c r="ACS4" s="93" t="s">
        <v>487</v>
      </c>
      <c r="ACT4" s="93" t="s">
        <v>488</v>
      </c>
      <c r="ACU4" s="93" t="s">
        <v>489</v>
      </c>
      <c r="ACV4" s="93" t="s">
        <v>15</v>
      </c>
      <c r="ACW4" s="93" t="s">
        <v>490</v>
      </c>
      <c r="ACX4" s="93" t="s">
        <v>491</v>
      </c>
      <c r="ACY4" s="93" t="s">
        <v>149</v>
      </c>
      <c r="ACZ4" s="93" t="s">
        <v>492</v>
      </c>
      <c r="ADA4" s="93" t="s">
        <v>493</v>
      </c>
      <c r="ADB4" s="93" t="s">
        <v>145</v>
      </c>
      <c r="ADC4" s="93" t="s">
        <v>11</v>
      </c>
      <c r="ADD4" s="94" t="s">
        <v>115</v>
      </c>
      <c r="ADE4" s="94" t="s">
        <v>494</v>
      </c>
      <c r="ADF4" s="94" t="s">
        <v>149</v>
      </c>
      <c r="ADG4" s="94" t="s">
        <v>495</v>
      </c>
      <c r="ADH4" s="94" t="s">
        <v>15</v>
      </c>
      <c r="ADI4" s="94" t="s">
        <v>496</v>
      </c>
      <c r="ADJ4" s="94" t="s">
        <v>497</v>
      </c>
      <c r="ADK4" s="94" t="s">
        <v>498</v>
      </c>
      <c r="ADL4" s="94" t="s">
        <v>149</v>
      </c>
      <c r="ADM4" s="94" t="s">
        <v>499</v>
      </c>
      <c r="ADN4" s="94" t="s">
        <v>500</v>
      </c>
      <c r="ADO4" s="94" t="s">
        <v>501</v>
      </c>
      <c r="ADP4" s="94" t="s">
        <v>498</v>
      </c>
      <c r="ADQ4" s="94" t="s">
        <v>502</v>
      </c>
      <c r="ADR4" s="94" t="s">
        <v>503</v>
      </c>
      <c r="ADS4" s="94" t="s">
        <v>504</v>
      </c>
      <c r="ADT4" s="94" t="s">
        <v>498</v>
      </c>
      <c r="ADU4" s="94" t="s">
        <v>502</v>
      </c>
      <c r="ADV4" s="94" t="s">
        <v>503</v>
      </c>
      <c r="ADW4" s="94" t="s">
        <v>505</v>
      </c>
      <c r="ADX4" s="94" t="s">
        <v>498</v>
      </c>
      <c r="ADY4" s="94" t="s">
        <v>502</v>
      </c>
      <c r="ADZ4" s="94" t="s">
        <v>503</v>
      </c>
      <c r="AEA4" s="94" t="s">
        <v>506</v>
      </c>
      <c r="AEB4" s="94" t="s">
        <v>498</v>
      </c>
      <c r="AEC4" s="94" t="s">
        <v>502</v>
      </c>
      <c r="AED4" s="94" t="s">
        <v>503</v>
      </c>
      <c r="AEE4" s="94" t="s">
        <v>507</v>
      </c>
      <c r="AEF4" s="94" t="s">
        <v>498</v>
      </c>
      <c r="AEG4" s="94" t="s">
        <v>502</v>
      </c>
      <c r="AEH4" s="94" t="s">
        <v>503</v>
      </c>
      <c r="AEI4" s="94" t="s">
        <v>508</v>
      </c>
      <c r="AEJ4" s="94" t="s">
        <v>498</v>
      </c>
      <c r="AEK4" s="94" t="s">
        <v>502</v>
      </c>
      <c r="AEL4" s="94" t="s">
        <v>503</v>
      </c>
      <c r="AEM4" s="94" t="s">
        <v>509</v>
      </c>
      <c r="AEN4" s="94" t="s">
        <v>498</v>
      </c>
      <c r="AEO4" s="94" t="s">
        <v>502</v>
      </c>
      <c r="AEP4" s="94" t="s">
        <v>503</v>
      </c>
      <c r="AEQ4" s="94" t="s">
        <v>510</v>
      </c>
      <c r="AER4" s="94" t="s">
        <v>498</v>
      </c>
      <c r="AES4" s="94" t="s">
        <v>502</v>
      </c>
      <c r="AET4" s="94" t="s">
        <v>503</v>
      </c>
      <c r="AEU4" s="94" t="s">
        <v>511</v>
      </c>
      <c r="AEV4" s="94" t="s">
        <v>502</v>
      </c>
      <c r="AEW4" s="94" t="s">
        <v>503</v>
      </c>
      <c r="AEX4" s="94" t="s">
        <v>512</v>
      </c>
      <c r="AEY4" s="94" t="s">
        <v>513</v>
      </c>
      <c r="AEZ4" s="94" t="s">
        <v>514</v>
      </c>
      <c r="AFA4" s="94" t="s">
        <v>515</v>
      </c>
      <c r="AFB4" s="94" t="s">
        <v>516</v>
      </c>
      <c r="AFC4" s="94" t="s">
        <v>517</v>
      </c>
      <c r="AFD4" s="94" t="s">
        <v>518</v>
      </c>
      <c r="AFE4" s="94" t="s">
        <v>519</v>
      </c>
      <c r="AFF4" s="94" t="s">
        <v>520</v>
      </c>
      <c r="AFG4" s="94" t="s">
        <v>521</v>
      </c>
      <c r="AFH4" s="94" t="s">
        <v>15</v>
      </c>
      <c r="AFI4" s="94" t="s">
        <v>522</v>
      </c>
      <c r="AFJ4" s="94" t="s">
        <v>520</v>
      </c>
      <c r="AFK4" s="94" t="s">
        <v>521</v>
      </c>
      <c r="AFL4" s="94" t="s">
        <v>15</v>
      </c>
      <c r="AFM4" s="94" t="s">
        <v>116</v>
      </c>
      <c r="AFN4" s="94" t="s">
        <v>117</v>
      </c>
      <c r="AFO4" s="94" t="s">
        <v>523</v>
      </c>
      <c r="AFP4" s="94" t="s">
        <v>149</v>
      </c>
      <c r="AFQ4" s="94" t="s">
        <v>524</v>
      </c>
      <c r="AFR4" s="94" t="s">
        <v>525</v>
      </c>
      <c r="AFS4" s="94" t="s">
        <v>526</v>
      </c>
      <c r="AFT4" s="94" t="s">
        <v>527</v>
      </c>
      <c r="AFU4" s="94" t="s">
        <v>528</v>
      </c>
      <c r="AFV4" s="94" t="s">
        <v>529</v>
      </c>
      <c r="AFW4" s="94" t="s">
        <v>149</v>
      </c>
      <c r="AFX4" s="94" t="s">
        <v>524</v>
      </c>
      <c r="AFY4" s="94" t="s">
        <v>530</v>
      </c>
      <c r="AFZ4" s="94" t="s">
        <v>526</v>
      </c>
      <c r="AGA4" s="94" t="s">
        <v>527</v>
      </c>
      <c r="AGB4" s="94" t="s">
        <v>528</v>
      </c>
      <c r="AGC4" s="94" t="s">
        <v>118</v>
      </c>
      <c r="AGD4" s="94" t="s">
        <v>531</v>
      </c>
      <c r="AGE4" s="94" t="s">
        <v>149</v>
      </c>
      <c r="AGF4" s="94" t="s">
        <v>532</v>
      </c>
      <c r="AGG4" s="94" t="s">
        <v>533</v>
      </c>
      <c r="AGH4" s="94" t="s">
        <v>534</v>
      </c>
      <c r="AGI4" s="94" t="s">
        <v>149</v>
      </c>
      <c r="AGJ4" s="94" t="s">
        <v>532</v>
      </c>
      <c r="AGK4" s="94" t="s">
        <v>533</v>
      </c>
      <c r="AGL4" s="94" t="s">
        <v>535</v>
      </c>
      <c r="AGM4" s="94" t="s">
        <v>149</v>
      </c>
      <c r="AGN4" s="94" t="s">
        <v>532</v>
      </c>
      <c r="AGO4" s="94" t="s">
        <v>533</v>
      </c>
      <c r="AGP4" s="94" t="s">
        <v>119</v>
      </c>
      <c r="AGQ4" s="94" t="s">
        <v>126</v>
      </c>
      <c r="AGR4" s="94" t="s">
        <v>11</v>
      </c>
    </row>
    <row r="5" spans="2:876" ht="29" x14ac:dyDescent="0.35">
      <c r="B5" s="18">
        <f>'Building Description'!D4</f>
        <v>0</v>
      </c>
      <c r="C5" s="18">
        <f>'Building Description'!D6</f>
        <v>0</v>
      </c>
      <c r="D5" s="18">
        <f>'Building Description'!D8</f>
        <v>0</v>
      </c>
      <c r="E5" s="18">
        <f>'Building Description'!D12</f>
        <v>0</v>
      </c>
      <c r="F5" s="18">
        <f>'Building Description'!D14</f>
        <v>0</v>
      </c>
      <c r="G5" s="18">
        <f>'Building Description'!D16</f>
        <v>0</v>
      </c>
      <c r="H5" s="18">
        <f>'Building Description'!H16</f>
        <v>0</v>
      </c>
      <c r="I5" s="18">
        <f>'Building Description'!D18</f>
        <v>0</v>
      </c>
      <c r="J5" s="18">
        <f>'Building Description'!H18</f>
        <v>0</v>
      </c>
      <c r="K5" s="18">
        <f>'Building Description'!D20</f>
        <v>0</v>
      </c>
      <c r="L5" s="18">
        <f>'Building Description'!D24</f>
        <v>0</v>
      </c>
      <c r="M5" s="18">
        <f>'Building Description'!D26</f>
        <v>0</v>
      </c>
      <c r="N5" s="18">
        <f>'Building Description'!D28</f>
        <v>0</v>
      </c>
      <c r="O5" s="18">
        <f>'Building Description'!H28</f>
        <v>0</v>
      </c>
      <c r="P5" s="18">
        <f>'Building Description'!D30</f>
        <v>0</v>
      </c>
      <c r="Q5" s="18">
        <f>'Building Description'!H30</f>
        <v>0</v>
      </c>
      <c r="R5" s="18">
        <f>'Building Description'!D32</f>
        <v>0</v>
      </c>
      <c r="S5" s="18">
        <f>'Building Description'!D34</f>
        <v>0</v>
      </c>
      <c r="T5" s="18">
        <f>'Building Description'!H34</f>
        <v>0</v>
      </c>
      <c r="U5" s="18">
        <f>'Building Description'!D36</f>
        <v>0</v>
      </c>
      <c r="V5" s="18">
        <f>'Building Description'!D38</f>
        <v>0</v>
      </c>
      <c r="W5" s="18">
        <f>'Building Description'!D40</f>
        <v>0</v>
      </c>
      <c r="X5" s="18">
        <f>'Building Description'!D42</f>
        <v>5</v>
      </c>
      <c r="Y5" s="18">
        <f>'Building Description'!D44</f>
        <v>0</v>
      </c>
      <c r="Z5" s="18">
        <f>'Building Description'!D46</f>
        <v>5</v>
      </c>
      <c r="AA5" s="18">
        <f>'Building Description'!D48</f>
        <v>0</v>
      </c>
      <c r="AB5" s="18">
        <f>IF(AA5="","N/A",'Building Description'!H48)</f>
        <v>0</v>
      </c>
      <c r="AC5" s="18">
        <f>'Building Description'!D50</f>
        <v>0</v>
      </c>
      <c r="AD5" s="18">
        <f>'Building Description'!D52</f>
        <v>0</v>
      </c>
      <c r="AE5" s="18">
        <f>'Building Description'!D54</f>
        <v>0</v>
      </c>
      <c r="AF5" s="18">
        <f>'Building Description'!H54</f>
        <v>0</v>
      </c>
      <c r="AG5" s="18">
        <f>'Building Description'!D56</f>
        <v>0</v>
      </c>
      <c r="AH5" s="18">
        <f>'Building Description'!H56</f>
        <v>0</v>
      </c>
      <c r="AI5" s="18">
        <f>'Building Description'!D58</f>
        <v>0</v>
      </c>
      <c r="AJ5" s="18">
        <f>'Building Description'!H58</f>
        <v>0</v>
      </c>
      <c r="AK5" s="18">
        <f>'Building Description'!D60</f>
        <v>0</v>
      </c>
      <c r="AL5" s="18">
        <f>'Building Description'!H60</f>
        <v>0</v>
      </c>
      <c r="AM5" s="18">
        <f>'Building Description'!D62</f>
        <v>0</v>
      </c>
      <c r="AN5" s="18">
        <f>'Building Description'!D64</f>
        <v>0</v>
      </c>
      <c r="AO5" s="18">
        <f>'Building Description'!H64</f>
        <v>0</v>
      </c>
      <c r="AP5" s="18">
        <f>'Building Description'!D66</f>
        <v>0</v>
      </c>
      <c r="AQ5" s="18">
        <f>'Building Description'!H66</f>
        <v>0</v>
      </c>
      <c r="AR5" s="18">
        <f>'Building Description'!D68</f>
        <v>0</v>
      </c>
      <c r="AS5" s="18">
        <f>'Building Description'!D70</f>
        <v>0</v>
      </c>
      <c r="AT5" s="18">
        <f>'Building Description'!H70</f>
        <v>0</v>
      </c>
      <c r="AU5" s="18">
        <f>'Building Description'!D72</f>
        <v>0</v>
      </c>
      <c r="AV5" s="18">
        <f>'Building Description'!H72</f>
        <v>0</v>
      </c>
      <c r="AW5" s="18">
        <f>'Building Description'!D74</f>
        <v>0</v>
      </c>
      <c r="AX5" s="18">
        <f>'Building Description'!H74</f>
        <v>0</v>
      </c>
      <c r="AY5" s="18">
        <f>'Building Description'!D74</f>
        <v>0</v>
      </c>
      <c r="AZ5" s="18">
        <f>'Building Description'!D78</f>
        <v>0</v>
      </c>
      <c r="BA5" s="18">
        <f>'Building Description'!H78</f>
        <v>0</v>
      </c>
      <c r="BB5" s="18">
        <f>'Building Description'!D80</f>
        <v>0</v>
      </c>
      <c r="BC5" s="18">
        <f>'Building Description'!H80</f>
        <v>0</v>
      </c>
      <c r="BD5" s="18">
        <f>'Building Description'!D82</f>
        <v>0</v>
      </c>
      <c r="BE5" s="18">
        <f>'Building Description'!D84</f>
        <v>0</v>
      </c>
      <c r="BF5" s="18">
        <f>'Building Description'!D86</f>
        <v>0</v>
      </c>
      <c r="BG5" s="18">
        <f>'Building Description'!H86</f>
        <v>0</v>
      </c>
      <c r="BH5" s="18">
        <f>'Building Description'!D90</f>
        <v>0</v>
      </c>
      <c r="BI5" s="18">
        <f>'Building Description'!H90</f>
        <v>0</v>
      </c>
      <c r="BJ5" s="18">
        <f>'Building Description'!D92</f>
        <v>0</v>
      </c>
      <c r="BK5" s="18">
        <f>'Building Description'!H92</f>
        <v>0</v>
      </c>
      <c r="BL5" s="18">
        <f>'Building Description'!D94</f>
        <v>0</v>
      </c>
      <c r="BM5" s="18">
        <f>'Building Description'!H94</f>
        <v>0</v>
      </c>
      <c r="BN5" s="18">
        <f>'Building Description'!D96</f>
        <v>0</v>
      </c>
      <c r="BO5" s="18">
        <f>'Building Description'!H96</f>
        <v>0</v>
      </c>
      <c r="BP5" s="18">
        <f>'Building Description'!D98</f>
        <v>0</v>
      </c>
      <c r="BQ5" s="18">
        <f>'Building Description'!H98</f>
        <v>0</v>
      </c>
      <c r="BR5" s="18">
        <f>'Building Description'!D100</f>
        <v>0</v>
      </c>
      <c r="BS5" s="18">
        <f>'Building Description'!D104</f>
        <v>0</v>
      </c>
      <c r="BT5" s="18">
        <f>'Building Description'!D106</f>
        <v>0</v>
      </c>
      <c r="BU5" s="18">
        <f>'Building Description'!D108</f>
        <v>0</v>
      </c>
      <c r="BV5" s="18">
        <f>'Building Description'!H108</f>
        <v>0</v>
      </c>
      <c r="BW5" s="18">
        <f>'Building Description'!D110</f>
        <v>0</v>
      </c>
      <c r="BX5" s="18">
        <f>'Building Description'!H110</f>
        <v>0</v>
      </c>
      <c r="BY5" s="18">
        <f>'Building Description'!D112</f>
        <v>0</v>
      </c>
      <c r="BZ5" s="18">
        <f>'Building Description'!D114</f>
        <v>0</v>
      </c>
      <c r="CA5" s="18">
        <f>'Building Description'!D116</f>
        <v>0</v>
      </c>
      <c r="CB5" s="18">
        <f>'Building Description'!D118</f>
        <v>0</v>
      </c>
      <c r="CC5" s="18">
        <f>'Building Description'!D120</f>
        <v>0</v>
      </c>
      <c r="CD5" s="18">
        <f>'Building Description'!D122</f>
        <v>0</v>
      </c>
      <c r="CE5" s="18">
        <f>'Building Description'!D124</f>
        <v>0</v>
      </c>
      <c r="CF5" s="18">
        <f>'Building Description'!D106</f>
        <v>0</v>
      </c>
      <c r="CG5" s="18">
        <f>'Building Description'!D128</f>
        <v>0</v>
      </c>
      <c r="CH5" s="18">
        <f>'Building Description'!H128</f>
        <v>0</v>
      </c>
      <c r="CI5" s="18">
        <f>'Building Description'!D130</f>
        <v>0</v>
      </c>
      <c r="CJ5" s="18">
        <f>'Building Description'!H130</f>
        <v>0</v>
      </c>
      <c r="CK5" s="18">
        <f>'Building Description'!D132</f>
        <v>0</v>
      </c>
      <c r="CL5" s="18">
        <f>'Building Description'!H132</f>
        <v>0</v>
      </c>
      <c r="CM5" s="18">
        <f>'Building Description'!F3</f>
        <v>0</v>
      </c>
      <c r="CN5" s="18">
        <f>'Health &amp; Safety'!D12</f>
        <v>0</v>
      </c>
      <c r="CO5" s="18">
        <f>IF($CN$5="N","N/A",'Health &amp; Safety'!H12)</f>
        <v>0</v>
      </c>
      <c r="CP5" s="18">
        <f>IF($CN$5="N","N/A",'Health &amp; Safety'!D46)</f>
        <v>0</v>
      </c>
      <c r="CQ5" s="18">
        <f>IF($CN$5="N","N/A",'Health &amp; Safety'!H46)</f>
        <v>0</v>
      </c>
      <c r="CR5" s="18">
        <f>IF($CN$5="N","N/A",'Health &amp; Safety'!D48)</f>
        <v>0</v>
      </c>
      <c r="CS5" s="18">
        <f>IF($CN$5="N","N/A",'Health &amp; Safety'!D50)</f>
        <v>0</v>
      </c>
      <c r="CT5" s="18">
        <f>'Health &amp; Safety'!D14</f>
        <v>0</v>
      </c>
      <c r="CU5" s="18">
        <f>IF($CT$5="N","N/A",'Health &amp; Safety'!H14)</f>
        <v>0</v>
      </c>
      <c r="CV5" s="18">
        <f>IF($CT$5="N","N/A",'Health &amp; Safety'!D54)</f>
        <v>0</v>
      </c>
      <c r="CW5" s="18">
        <f>IF($CT$5="N","N/A",'Health &amp; Safety'!H54)</f>
        <v>0</v>
      </c>
      <c r="CX5" s="18">
        <f>IF($CT$5="N","N/A",'Health &amp; Safety'!D56)</f>
        <v>0</v>
      </c>
      <c r="CY5" s="18">
        <f>IF($CT$5="N","N/A",'Health &amp; Safety'!H58)</f>
        <v>0</v>
      </c>
      <c r="CZ5" s="18">
        <f>IF($CT$5="N","N/A",'Health &amp; Safety'!D60)</f>
        <v>0</v>
      </c>
      <c r="DA5" s="18">
        <f>IF($CT$5="N","N/A",'Health &amp; Safety'!H60)</f>
        <v>0</v>
      </c>
      <c r="DB5" s="18">
        <f>IF($CT$5="N","N/A",'Health &amp; Safety'!D62)</f>
        <v>0</v>
      </c>
      <c r="DC5" s="18">
        <f>IF($CT$5="N","N/A",'Health &amp; Safety'!D64)</f>
        <v>0</v>
      </c>
      <c r="DD5" s="18">
        <f>IF($CT$5="N","N/A",'Health &amp; Safety'!H64)</f>
        <v>0</v>
      </c>
      <c r="DE5" s="18">
        <f>IF($CT$5="N","N/A",'Health &amp; Safety'!D66)</f>
        <v>0</v>
      </c>
      <c r="DF5" s="18">
        <f>IF($CT$5="N","N/A",'Health &amp; Safety'!H66)</f>
        <v>0</v>
      </c>
      <c r="DG5" s="18">
        <f>IF($CT$5="N","N/A",'Health &amp; Safety'!D68)</f>
        <v>0</v>
      </c>
      <c r="DH5" s="18">
        <f>IF($CT$5="N","N/A",'Health &amp; Safety'!H68)</f>
        <v>0</v>
      </c>
      <c r="DI5" s="18">
        <f>IF($CT$5="N","N/A",'Health &amp; Safety'!D70)</f>
        <v>0</v>
      </c>
      <c r="DJ5" s="18">
        <f>IF($CT$5="N","N/A",'Health &amp; Safety'!H70)</f>
        <v>0</v>
      </c>
      <c r="DK5" s="18">
        <f>'Health &amp; Safety'!D16</f>
        <v>0</v>
      </c>
      <c r="DL5" s="18">
        <f>IF($DK$5="N","N/A",'Health &amp; Safety'!H16)</f>
        <v>0</v>
      </c>
      <c r="DM5" s="18">
        <f>IF($DK$5="N","N/A",'Health &amp; Safety'!D86)</f>
        <v>0</v>
      </c>
      <c r="DN5" s="18">
        <f>IF($DK$5="N","N/A",'Health &amp; Safety'!H86)</f>
        <v>0</v>
      </c>
      <c r="DO5" s="18">
        <f>IF($DK$5="N","N/A",'Health &amp; Safety'!D88)</f>
        <v>0</v>
      </c>
      <c r="DP5" s="18">
        <f>'Health &amp; Safety'!D38</f>
        <v>0</v>
      </c>
      <c r="DQ5" s="18">
        <f>IF($DP$5="N","N/A",'Health &amp; Safety'!D75)</f>
        <v>0</v>
      </c>
      <c r="DR5" s="18">
        <f>IF($DP$5="N","N/A",'Health &amp; Safety'!D77)</f>
        <v>0</v>
      </c>
      <c r="DS5" s="18">
        <f>IF($DP$5="N","N/A",'Health &amp; Safety'!H77)</f>
        <v>0</v>
      </c>
      <c r="DT5" s="18">
        <f>IF($DP$5="N","N/A",'Health &amp; Safety'!D79)</f>
        <v>0</v>
      </c>
      <c r="DU5" s="18">
        <f>IF($DP$5="N","N/A",'Health &amp; Safety'!D81)</f>
        <v>0</v>
      </c>
      <c r="DV5" s="18">
        <f>IF($DP$5="N","N/A",'Health &amp; Safety'!H81)</f>
        <v>0</v>
      </c>
      <c r="DW5" s="18">
        <f>'Health &amp; Safety'!D18</f>
        <v>0</v>
      </c>
      <c r="DX5" s="18">
        <f>'Health &amp; Safety'!D92</f>
        <v>0</v>
      </c>
      <c r="DY5" s="18">
        <f>'Health &amp; Safety'!H92</f>
        <v>0</v>
      </c>
      <c r="DZ5" s="18">
        <f>'Health &amp; Safety'!D94</f>
        <v>0</v>
      </c>
      <c r="EA5" s="18">
        <f>'Health &amp; Safety'!D20</f>
        <v>0</v>
      </c>
      <c r="EB5" s="18">
        <f>IF($EA$5="N","N/A",'Health &amp; Safety'!H20)</f>
        <v>0</v>
      </c>
      <c r="EC5" s="18">
        <f>'Health &amp; Safety'!D112</f>
        <v>0</v>
      </c>
      <c r="ED5" s="18">
        <f>IF($EA$5="N","N/A",'Health &amp; Safety'!D114)</f>
        <v>0</v>
      </c>
      <c r="EE5" s="18">
        <f>IF($EA$5="N","N/A",'Health &amp; Safety'!H114)</f>
        <v>0</v>
      </c>
      <c r="EF5" s="18">
        <f>IF($EA$5="N","N/A",'Health &amp; Safety'!D116)</f>
        <v>0</v>
      </c>
      <c r="EG5" s="18">
        <f>IF($EA$5="N","N/A",'Health &amp; Safety'!H116)</f>
        <v>0</v>
      </c>
      <c r="EH5" s="18">
        <f>IF($EA$5="N","N/A",'Health &amp; Safety'!D118)</f>
        <v>0</v>
      </c>
      <c r="EI5" s="18">
        <f>IF($EA$5="N","N/A",'Health &amp; Safety'!D120)</f>
        <v>0</v>
      </c>
      <c r="EJ5" s="18">
        <f>IF($EA$5="N","N/A",'Health &amp; Safety'!H120)</f>
        <v>0</v>
      </c>
      <c r="EK5" s="18">
        <f>IF($EA$5="N","N/A",'Health &amp; Safety'!D122)</f>
        <v>0</v>
      </c>
      <c r="EL5" s="18">
        <f>IF($EA$5="N","N/A",'Health &amp; Safety'!H122)</f>
        <v>0</v>
      </c>
      <c r="EM5" s="18">
        <f>'Health &amp; Safety'!D22</f>
        <v>0</v>
      </c>
      <c r="EN5" s="18">
        <f>IF($EM$5="N","N/A",'Health &amp; Safety'!H22)</f>
        <v>0</v>
      </c>
      <c r="EO5" s="18">
        <f>IF($EM$5="N","N/A",'Health &amp; Safety'!D126)</f>
        <v>0</v>
      </c>
      <c r="EP5" s="18">
        <f>IF($EM$5="N","N/A",'Health &amp; Safety'!H126)</f>
        <v>0</v>
      </c>
      <c r="EQ5" s="18">
        <f>IF($EM$5="N","N/A",'Health &amp; Safety'!D128)</f>
        <v>0</v>
      </c>
      <c r="ER5" s="18">
        <f>IF($EM$5="N","N/A",'Health &amp; Safety'!H128)</f>
        <v>0</v>
      </c>
      <c r="ES5" s="18">
        <f>IF($EM$5="N","N/A",'Health &amp; Safety'!D130)</f>
        <v>0</v>
      </c>
      <c r="ET5" s="18">
        <f>IF($EM$5="N","N/A",'Health &amp; Safety'!H130)</f>
        <v>0</v>
      </c>
      <c r="EU5" s="18">
        <f>IF($EM$5="N","N/A",'Health &amp; Safety'!D132)</f>
        <v>0</v>
      </c>
      <c r="EV5" s="18">
        <f>IF($EM$5="N","N/A",'Health &amp; Safety'!H132)</f>
        <v>0</v>
      </c>
      <c r="EW5" s="18">
        <f>IF($EM$5="N","N/A",'Health &amp; Safety'!D134)</f>
        <v>0</v>
      </c>
      <c r="EX5" s="18">
        <f>IF($EM$5="N","N/A",'Health &amp; Safety'!H134)</f>
        <v>0</v>
      </c>
      <c r="EY5" s="18">
        <f>'Health &amp; Safety'!D24</f>
        <v>0</v>
      </c>
      <c r="EZ5" s="18">
        <f>IF($EY$5="N","N/A",'Health &amp; Safety'!H24)</f>
        <v>0</v>
      </c>
      <c r="FA5" s="18">
        <f>IF($EY$5="N","N/A",'Health &amp; Safety'!D138)</f>
        <v>0</v>
      </c>
      <c r="FB5" s="18">
        <f>IF($EY$5="N","N/A",'Health &amp; Safety'!H138)</f>
        <v>0</v>
      </c>
      <c r="FC5" s="18">
        <f>IF($EY$5="N","N/A",'Health &amp; Safety'!D140)</f>
        <v>0</v>
      </c>
      <c r="FD5" s="18">
        <f>'Health &amp; Safety'!D26</f>
        <v>0</v>
      </c>
      <c r="FE5" s="18">
        <f>IF($FD$5="N","N/A",'Health &amp; Safety'!H26)</f>
        <v>0</v>
      </c>
      <c r="FF5" s="18">
        <f>IF($FD$5="N","N/A",'Health &amp; Safety'!D144)</f>
        <v>0</v>
      </c>
      <c r="FG5" s="18">
        <f>IF($FD$5="N","N/A",'Health &amp; Safety'!H144)</f>
        <v>0</v>
      </c>
      <c r="FH5" s="18">
        <f>IF($FD$5="N","N/A",'Health &amp; Safety'!D146)</f>
        <v>0</v>
      </c>
      <c r="FI5" s="18">
        <f>IF($FD$5="N","N/A",'Health &amp; Safety'!D148)</f>
        <v>0</v>
      </c>
      <c r="FJ5" s="18">
        <f>IF($FD$5="N","N/A",'Health &amp; Safety'!D150)</f>
        <v>0</v>
      </c>
      <c r="FK5" s="18">
        <f>IF($FD$5="N","N/A",'Health &amp; Safety'!H150)</f>
        <v>0</v>
      </c>
      <c r="FL5" s="18">
        <f>IF($FD$5="N","N/A",'Health &amp; Safety'!D152)</f>
        <v>0</v>
      </c>
      <c r="FM5" s="18">
        <f>'Health &amp; Safety'!D28</f>
        <v>0</v>
      </c>
      <c r="FN5" s="18">
        <f>IF($FM$5="N","N/A",'Health &amp; Safety'!H28)</f>
        <v>0</v>
      </c>
      <c r="FO5" s="18">
        <f>IF($FM$5="N","N/A",'Health &amp; Safety'!D160)</f>
        <v>0</v>
      </c>
      <c r="FP5" s="18">
        <f>IF($FM$5="N","N/A",'Health &amp; Safety'!H156)</f>
        <v>0</v>
      </c>
      <c r="FQ5" s="18">
        <f>'Health &amp; Safety'!D30</f>
        <v>0</v>
      </c>
      <c r="FR5" s="18">
        <f>IF($FQ$5="N","N/A",'Health &amp; Safety'!H30)</f>
        <v>0</v>
      </c>
      <c r="FS5" s="18">
        <f>IF($FQ$5="N","N/A",'Health &amp; Safety'!D160)</f>
        <v>0</v>
      </c>
      <c r="FT5" s="18">
        <f>IF($FQ$5="N","N/A",'Health &amp; Safety'!H160)</f>
        <v>0</v>
      </c>
      <c r="FU5" s="18">
        <f>'Health &amp; Safety'!D32</f>
        <v>0</v>
      </c>
      <c r="FV5" s="18">
        <f>IF($FU$5="N","N/A",'Health &amp; Safety'!D164)</f>
        <v>0</v>
      </c>
      <c r="FW5" s="18">
        <f>IF($FU$5="N","N/A",'Health &amp; Safety'!H164)</f>
        <v>0</v>
      </c>
      <c r="FX5" s="18">
        <f>IF($FU$5="N","N/A",'Health &amp; Safety'!D166)</f>
        <v>0</v>
      </c>
      <c r="FY5" s="18">
        <f>IF($FU$5="N","N/A",'Health &amp; Safety'!H166)</f>
        <v>0</v>
      </c>
      <c r="FZ5" s="18">
        <f>IF($FU$5="N","N/A",'Health &amp; Safety'!D168)</f>
        <v>0</v>
      </c>
      <c r="GA5" s="18">
        <f>IF($FU$5="N","N/A",'Health &amp; Safety'!H168)</f>
        <v>0</v>
      </c>
      <c r="GB5" s="18">
        <f>IF($FU$5="N","N/A",'Health &amp; Safety'!D170)</f>
        <v>0</v>
      </c>
      <c r="GC5" s="18">
        <f>IF($FU$5="N","N/A",'Health &amp; Safety'!H170)</f>
        <v>0</v>
      </c>
      <c r="GD5" s="18">
        <f>IF($FU$5="N","N/A",'Health &amp; Safety'!D172)</f>
        <v>0</v>
      </c>
      <c r="GE5" s="18">
        <f>IF($FU$5="N","N/A",'Health &amp; Safety'!H172)</f>
        <v>0</v>
      </c>
      <c r="GF5" s="18">
        <f>IF($FU$5="N","N/A",'Health &amp; Safety'!D174)</f>
        <v>0</v>
      </c>
      <c r="GG5" s="18">
        <f>IF($FU$5="N","N/A",'Health &amp; Safety'!H174)</f>
        <v>0</v>
      </c>
      <c r="GH5" s="18">
        <f>IF($FU$5="N","N/A",'Health &amp; Safety'!D176)</f>
        <v>0</v>
      </c>
      <c r="GI5" s="18">
        <f>IF($FU$5="N","N/A",'Health &amp; Safety'!H176)</f>
        <v>0</v>
      </c>
      <c r="GJ5" s="18">
        <f>IF($FU$5="N","N/A",'Health &amp; Safety'!D178)</f>
        <v>0</v>
      </c>
      <c r="GK5" s="18">
        <f>IF($FU$5="N","N/A",'Health &amp; Safety'!H178)</f>
        <v>0</v>
      </c>
      <c r="GL5" s="18">
        <f>IF($FU$5="N","N/A",'Health &amp; Safety'!D180)</f>
        <v>0</v>
      </c>
      <c r="GM5" s="18">
        <f>IF($FU$5="N","N/A",'Health &amp; Safety'!H180)</f>
        <v>0</v>
      </c>
      <c r="GN5" s="18">
        <f>IF($FU$5="N","N/A",'Health &amp; Safety'!D182)</f>
        <v>0</v>
      </c>
      <c r="GO5" s="18">
        <f>IF($FU$5="N","N/A",'Health &amp; Safety'!H182)</f>
        <v>0</v>
      </c>
      <c r="GP5" s="18">
        <f>IF($FU$5="N","N/A",'Health &amp; Safety'!D184)</f>
        <v>0</v>
      </c>
      <c r="GQ5" s="18">
        <f>IF($FU$5="N","N/A",'Health &amp; Safety'!H184)</f>
        <v>0</v>
      </c>
      <c r="GR5" s="18">
        <f>IF($FU$5="N","N/A",'Health &amp; Safety'!D186)</f>
        <v>0</v>
      </c>
      <c r="GS5" s="18">
        <f>IF($FU$5="N","N/A",'Health &amp; Safety'!H186)</f>
        <v>0</v>
      </c>
      <c r="GT5" s="18">
        <f>IF($FU$5="N","N/A",'Health &amp; Safety'!D188)</f>
        <v>0</v>
      </c>
      <c r="GU5" s="18">
        <f>IF($FU$5="N","N/A",'Health &amp; Safety'!H188)</f>
        <v>0</v>
      </c>
      <c r="GV5" s="18">
        <f>IF($FU$5="N","N/A",'Health &amp; Safety'!D190)</f>
        <v>0</v>
      </c>
      <c r="GW5" s="18">
        <f>'Health &amp; Safety'!D34</f>
        <v>0</v>
      </c>
      <c r="GX5" s="18">
        <f>IF($GW$5="N","N/A",'Health &amp; Safety'!D194)</f>
        <v>0</v>
      </c>
      <c r="GY5" s="18">
        <f>IF($GW$5="N","N/A",'Health &amp; Safety'!H194)</f>
        <v>0</v>
      </c>
      <c r="GZ5" s="18">
        <f>IF($GW$5="N","N/A",'Health &amp; Safety'!D196)</f>
        <v>0</v>
      </c>
      <c r="HA5" s="18">
        <f>IF($GW$5="N","N/A",'Health &amp; Safety'!H196)</f>
        <v>0</v>
      </c>
      <c r="HB5" s="18">
        <f>IF($GW$5="N","N/A",'Health &amp; Safety'!D198)</f>
        <v>0</v>
      </c>
      <c r="HC5" s="18">
        <f>IF($GW$5="N","N/A",'Health &amp; Safety'!D200)</f>
        <v>0</v>
      </c>
      <c r="HD5" s="18">
        <f>IF($GW$5="N","N/A",'Health &amp; Safety'!H200)</f>
        <v>0</v>
      </c>
      <c r="HE5" s="18">
        <f>IF($GW$5="N","N/A",'Health &amp; Safety'!D202)</f>
        <v>0</v>
      </c>
      <c r="HF5" s="18">
        <f>IF($GW$5="N","N/A",'Health &amp; Safety'!D204)</f>
        <v>0</v>
      </c>
      <c r="HG5" s="18">
        <f>IF($GW$5="N","N/A",'Health &amp; Safety'!D206)</f>
        <v>0</v>
      </c>
      <c r="HH5" s="18">
        <f>IF($GW$5="N","N/A",'Health &amp; Safety'!H206)</f>
        <v>0</v>
      </c>
      <c r="HI5" s="18">
        <f>IF($GW$5="N","N/A",'Health &amp; Safety'!D208)</f>
        <v>0</v>
      </c>
      <c r="HJ5" s="18">
        <f>IF($GW$5="N","N/A",'Health &amp; Safety'!H208)</f>
        <v>0</v>
      </c>
      <c r="HK5" s="18">
        <f>'Health &amp; Safety'!D36</f>
        <v>0</v>
      </c>
      <c r="HL5" s="18">
        <f>IF($HK$5="N","N/A",'Health &amp; Safety'!H36)</f>
        <v>0</v>
      </c>
      <c r="HM5" s="18">
        <f>IF($HK$5="N","N/A",'Health &amp; Safety'!D212)</f>
        <v>0</v>
      </c>
      <c r="HN5" s="18">
        <f>IF($HK$5="N","N/A",'Health &amp; Safety'!H212)</f>
        <v>0</v>
      </c>
      <c r="HO5" s="18">
        <f>IF($HK$5="N","N/A",'Health &amp; Safety'!D214)</f>
        <v>0</v>
      </c>
      <c r="HP5" s="18">
        <f>IF($HK$5="N","N/A",'Health &amp; Safety'!H214)</f>
        <v>0</v>
      </c>
      <c r="HQ5" s="18">
        <f>'Health &amp; Safety'!D42</f>
        <v>0</v>
      </c>
      <c r="HR5" s="18">
        <f>IF($HQ$5="N","N/A",'Health &amp; Safety'!D218)</f>
        <v>0</v>
      </c>
      <c r="HS5" s="18">
        <f>IF($HQ$5="N","N/A",'Health &amp; Safety'!H218)</f>
        <v>0</v>
      </c>
      <c r="HT5" s="18">
        <f>IF($HQ$5="N","N/A",'Health &amp; Safety'!D220)</f>
        <v>0</v>
      </c>
      <c r="HU5" s="18">
        <f>IF($HQ$5="N","N/A",'Health &amp; Safety'!D222)</f>
        <v>0</v>
      </c>
      <c r="HV5" s="18">
        <f>IF($HQ$5="N","N/A",'Health &amp; Safety'!H222)</f>
        <v>0</v>
      </c>
      <c r="HW5" s="18">
        <f>IF($HQ$5="N","N/A",'Health &amp; Safety'!D224)</f>
        <v>0</v>
      </c>
      <c r="HX5" s="18">
        <f>IF($HQ$5="N","N/A",'Health &amp; Safety'!D226)</f>
        <v>0</v>
      </c>
      <c r="HY5" s="18">
        <f>IF($HQ$5="N","N/A",'Health &amp; Safety'!H226)</f>
        <v>0</v>
      </c>
      <c r="HZ5" s="18">
        <f>IF($HQ$5="N","N/A",'Health &amp; Safety'!D228)</f>
        <v>0</v>
      </c>
      <c r="IA5" s="18">
        <f>IF($HQ$5="N","N/A",'Health &amp; Safety'!D230)</f>
        <v>0</v>
      </c>
      <c r="IB5" s="18">
        <f>IF($HQ$5="N","N/A",'Health &amp; Safety'!H230)</f>
        <v>0</v>
      </c>
      <c r="IC5" s="18">
        <f>IF($HQ$5="N","N/A",'Health &amp; Safety'!D232)</f>
        <v>0</v>
      </c>
      <c r="ID5" s="18" t="str">
        <f>IF('Health &amp; Safety'!F3="","N/A",'Health &amp; Safety'!F3)</f>
        <v>N/A</v>
      </c>
      <c r="IE5" s="18">
        <f>'Hard Services'!D12</f>
        <v>0</v>
      </c>
      <c r="IF5" s="18">
        <f>'Hard Services'!D14</f>
        <v>0</v>
      </c>
      <c r="IG5" s="18">
        <f>'Hard Services'!D16</f>
        <v>0</v>
      </c>
      <c r="IH5" s="18">
        <f>'Hard Services'!D18</f>
        <v>0</v>
      </c>
      <c r="II5" s="18">
        <f>'Hard Services'!D326</f>
        <v>0</v>
      </c>
      <c r="IJ5" s="18">
        <f>'Hard Services'!H326</f>
        <v>0</v>
      </c>
      <c r="IK5" s="18">
        <f>'Hard Services'!D20</f>
        <v>0</v>
      </c>
      <c r="IL5" s="18">
        <f>'Hard Services'!D22</f>
        <v>0</v>
      </c>
      <c r="IM5" s="18">
        <f>'Hard Services'!D24</f>
        <v>0</v>
      </c>
      <c r="IN5" s="18">
        <f>'Hard Services'!D40</f>
        <v>0</v>
      </c>
      <c r="IO5" s="18">
        <f>IF(IN5="N","N/A",'Hard Services'!H40)</f>
        <v>0</v>
      </c>
      <c r="IP5" s="18">
        <f>'Hard Services'!D42</f>
        <v>0</v>
      </c>
      <c r="IQ5" s="18">
        <f>IF(IP5="N","N/A",'Hard Services'!H42)</f>
        <v>0</v>
      </c>
      <c r="IR5" s="18">
        <f>IF(IP5="N","N/A",'Hard Services'!D44)</f>
        <v>0</v>
      </c>
      <c r="IS5" s="18">
        <f>IF(IP5="N","N/A",'Hard Services'!H44)</f>
        <v>0</v>
      </c>
      <c r="IT5" s="18">
        <f>IF(IP5="N","N/A",'Hard Services'!D46)</f>
        <v>0</v>
      </c>
      <c r="IU5" s="18">
        <f>IF(IP5="N","N/A",'Hard Services'!H46)</f>
        <v>0</v>
      </c>
      <c r="IV5" s="18">
        <f>'Hard Services'!D48</f>
        <v>0</v>
      </c>
      <c r="IW5" s="18">
        <f>IF(IV5="N","N/A",'Hard Services'!H48)</f>
        <v>0</v>
      </c>
      <c r="IX5" s="18">
        <f>IF(IV5="N","N/A",'Hard Services'!D50)</f>
        <v>0</v>
      </c>
      <c r="IY5" s="18">
        <f>IF(IV5="N","N/A",'Hard Services'!H50)</f>
        <v>0</v>
      </c>
      <c r="IZ5" s="18">
        <f>IF(IV5="N","N/A",'Hard Services'!D52)</f>
        <v>0</v>
      </c>
      <c r="JA5" s="18">
        <f>IF(IV5="N","N/A",'Hard Services'!H52)</f>
        <v>0</v>
      </c>
      <c r="JB5" s="18">
        <f>'Hard Services'!D54</f>
        <v>0</v>
      </c>
      <c r="JC5" s="18">
        <f>IF(JB5="N","N/A",'Hard Services'!H54)</f>
        <v>0</v>
      </c>
      <c r="JD5" s="18">
        <f>IF(JB5="N","N/A",'Hard Services'!D56)</f>
        <v>0</v>
      </c>
      <c r="JE5" s="18">
        <f>IF(JB5="N","N/A",'Hard Services'!H56)</f>
        <v>0</v>
      </c>
      <c r="JF5" s="18">
        <f>IF(JB5="N","N/A",'Hard Services'!D58)</f>
        <v>0</v>
      </c>
      <c r="JG5" s="18">
        <f>IF(JB5="N","N/A",'Hard Services'!H58)</f>
        <v>0</v>
      </c>
      <c r="JH5" s="18">
        <f>IF(JB5="N","N/A",'Hard Services'!D60)</f>
        <v>0</v>
      </c>
      <c r="JI5" s="18">
        <f>IF(JB5="N","N/A",'Hard Services'!H60)</f>
        <v>0</v>
      </c>
      <c r="JJ5" s="18">
        <f>IF(JB5="N","N/A",'Hard Services'!D62)</f>
        <v>0</v>
      </c>
      <c r="JK5" s="18">
        <f>IF(JB5="N","N/A",'Hard Services'!H62)</f>
        <v>0</v>
      </c>
      <c r="JL5" s="18">
        <f>IF(JB5="N","N/A",'Hard Services'!D64)</f>
        <v>0</v>
      </c>
      <c r="JM5" s="18">
        <f>IF(JB5="N","N/A",'Hard Services'!H64)</f>
        <v>0</v>
      </c>
      <c r="JN5" s="18">
        <f>'Hard Services'!D66</f>
        <v>0</v>
      </c>
      <c r="JO5" s="18">
        <f>IF(JN5="N","N/A",'Hard Services'!H66)</f>
        <v>0</v>
      </c>
      <c r="JP5" s="18">
        <f>IF(JN5="N","N/A",'Hard Services'!D68)</f>
        <v>0</v>
      </c>
      <c r="JQ5" s="18">
        <f>IF(JN5="N","N/A",'Hard Services'!H68)</f>
        <v>0</v>
      </c>
      <c r="JR5" s="18">
        <f>IF(JN5="N","N/A",'Hard Services'!D70)</f>
        <v>0</v>
      </c>
      <c r="JS5" s="18">
        <f>'Hard Services'!D72</f>
        <v>0</v>
      </c>
      <c r="JT5" s="18">
        <f>IF(JS5="N","N/A",'Hard Services'!H72)</f>
        <v>0</v>
      </c>
      <c r="JU5" s="18">
        <f>IF(JS5="N","N/A",'Hard Services'!D74)</f>
        <v>0</v>
      </c>
      <c r="JV5" s="18">
        <f>IF(JS5="N","N/A",'Hard Services'!H74)</f>
        <v>0</v>
      </c>
      <c r="JW5" s="18">
        <f>IF(JS5="N","N/A",'Hard Services'!D76)</f>
        <v>0</v>
      </c>
      <c r="JX5" s="18">
        <f>'Hard Services'!D78</f>
        <v>0</v>
      </c>
      <c r="JY5" s="18">
        <f>IF(JX5="N","N/A",'Hard Services'!H78)</f>
        <v>0</v>
      </c>
      <c r="JZ5" s="18">
        <f>IF(JX5="N","N/A",'Hard Services'!D80)</f>
        <v>0</v>
      </c>
      <c r="KA5" s="18">
        <f>IF(JX5="N","N/A",'Hard Services'!H80)</f>
        <v>0</v>
      </c>
      <c r="KB5" s="18">
        <f>IF(JX5="N","N/A",'Hard Services'!D82)</f>
        <v>0</v>
      </c>
      <c r="KC5" s="18">
        <f>'Hard Services'!D84</f>
        <v>0</v>
      </c>
      <c r="KD5" s="18">
        <f>IF(KC5="N","N/A",'Hard Services'!H84)</f>
        <v>0</v>
      </c>
      <c r="KE5" s="18">
        <f>IF(KC5="N","N/A",'Hard Services'!D86)</f>
        <v>0</v>
      </c>
      <c r="KF5" s="18">
        <f>IF(KC5="N","N/A",'Hard Services'!H86)</f>
        <v>0</v>
      </c>
      <c r="KG5" s="18">
        <f>IF(KC5="N","N/A",'Hard Services'!D88)</f>
        <v>0</v>
      </c>
      <c r="KH5" s="18">
        <f>'Hard Services'!D90</f>
        <v>0</v>
      </c>
      <c r="KI5" s="18">
        <f>IF(KH5="N","N/A",'Hard Services'!H90)</f>
        <v>0</v>
      </c>
      <c r="KJ5" s="18">
        <f>IF(KH5="N","N/A",'Hard Services'!D92)</f>
        <v>0</v>
      </c>
      <c r="KK5" s="18">
        <f>IF(KH5="N","N/A",'Hard Services'!H92)</f>
        <v>0</v>
      </c>
      <c r="KL5" s="18">
        <f>IF(KH5="N","N/A",'Hard Services'!D94)</f>
        <v>0</v>
      </c>
      <c r="KM5" s="18">
        <f>'Hard Services'!D26</f>
        <v>0</v>
      </c>
      <c r="KN5" s="18">
        <f>IF(KM5="N","N/A",'Hard Services'!D98)</f>
        <v>0</v>
      </c>
      <c r="KO5" s="18">
        <f>IF(OR(KN5="N",KN5="N/A"),"N/A",'Hard Services'!D104)</f>
        <v>0</v>
      </c>
      <c r="KP5" s="18">
        <f>IF(OR(KN5="N",KN5="N/A"),"N/A",'Hard Services'!D106)</f>
        <v>0</v>
      </c>
      <c r="KQ5" s="18">
        <f>IF(OR(KN5="N",KN5="N/A"),"N/A",'Hard Services'!H106)</f>
        <v>0</v>
      </c>
      <c r="KR5" s="18">
        <f>IF(OR(KN5="N",KN5="N/A"),"N/A",'Hard Services'!D108)</f>
        <v>0</v>
      </c>
      <c r="KS5" s="18">
        <f>IF(OR(KN5="N",KN5="N/A"),"N/A",'Hard Services'!D110)</f>
        <v>0</v>
      </c>
      <c r="KT5" s="18">
        <f>IF(OR(KN5="N",KN5="N/A"),"N/A",'Hard Services'!D112)</f>
        <v>0</v>
      </c>
      <c r="KU5" s="18">
        <f>IF(OR(KT5="N/A",KT5="N"),"N/A",'Hard Services'!D114)</f>
        <v>0</v>
      </c>
      <c r="KV5" s="18">
        <f>IF(OR(KT5="N/A",KT5="N"),"N/A",'Hard Services'!D116)</f>
        <v>0</v>
      </c>
      <c r="KW5" s="18">
        <f>IF(OR(KT5="N/A",KT5="N"),"N/A",'Hard Services'!H116)</f>
        <v>0</v>
      </c>
      <c r="KX5" s="18">
        <f>IF(KM5="N","N/A",'Hard Services'!D100)</f>
        <v>0</v>
      </c>
      <c r="KY5" s="18">
        <f>IF(OR(KX5="N",KX5="N/A"),"N/A",'Hard Services'!D120)</f>
        <v>0</v>
      </c>
      <c r="KZ5" s="18">
        <f>IF(OR(KY5="N",KY5="N/A"),"N/A",'Hard Services'!H120)</f>
        <v>0</v>
      </c>
      <c r="LA5" s="18">
        <f>IF(OR(KY5="N",KY5="N/A"),"N/A",'Hard Services'!D122)</f>
        <v>0</v>
      </c>
      <c r="LB5" s="18">
        <f>IF(OR(KY5="N",KY5="N/A"),"N/A",'Hard Services'!H122)</f>
        <v>0</v>
      </c>
      <c r="LC5" s="18">
        <f>IF(OR(KY5="N",KY5="N/A"),"N/A",'Hard Services'!D124)</f>
        <v>0</v>
      </c>
      <c r="LD5" s="18">
        <f>IF(OR(KY5="N",KY5="N/A"),"N/A",'Hard Services'!D126)</f>
        <v>0</v>
      </c>
      <c r="LE5" s="18">
        <f>IF(KX5="N","N/A",'Hard Services'!D128)</f>
        <v>0</v>
      </c>
      <c r="LF5" s="18">
        <f>IF(OR(LE5="N",LE5="N/A"),"N/A",'Hard Services'!H128)</f>
        <v>0</v>
      </c>
      <c r="LG5" s="18">
        <f>IF(OR(LE5="N",LE5="N/A"),"N/A",'Hard Services'!D130)</f>
        <v>0</v>
      </c>
      <c r="LH5" s="18">
        <f>IF(OR(LE5="N",LE5="N/A"),"N/A",'Hard Services'!H130)</f>
        <v>0</v>
      </c>
      <c r="LI5" s="18">
        <f>IF(OR(LE5="N",LE5="N/A"),"N/A",'Hard Services'!D132)</f>
        <v>0</v>
      </c>
      <c r="LJ5" s="18">
        <f>IF(OR(LE5="N",LE5="N/A"),"N/A",'Hard Services'!H132)</f>
        <v>0</v>
      </c>
      <c r="LK5" s="18">
        <f>IF(OR(LE5="N",LE5="N/A"),"N/A",'Hard Services'!D134)</f>
        <v>0</v>
      </c>
      <c r="LL5" s="18">
        <f>IF(KX5="N","N/A",'Hard Services'!D136)</f>
        <v>0</v>
      </c>
      <c r="LM5" s="18">
        <f>IF(OR(LL5="N",LL5="N/A"),"N/A",'Hard Services'!H136)</f>
        <v>0</v>
      </c>
      <c r="LN5" s="18">
        <f>IF(OR(LL5="N",LL5="N/A"),"N/A",'Hard Services'!D138)</f>
        <v>0</v>
      </c>
      <c r="LO5" s="18">
        <f>IF(OR(LL5="N",LL5="N/A"),"N/A",'Hard Services'!H138)</f>
        <v>0</v>
      </c>
      <c r="LP5" s="18">
        <f>IF(OR(LL5="N",LL5="N/A"),"N/A",'Hard Services'!D140)</f>
        <v>0</v>
      </c>
      <c r="LQ5" s="18">
        <f>IF(OR(LL5="N",LL5="N/A"),"N/A",'Hard Services'!D142)</f>
        <v>0</v>
      </c>
      <c r="LR5" s="18">
        <f>IF(KX5="N","N/A",'Hard Services'!D144)</f>
        <v>0</v>
      </c>
      <c r="LS5" s="18">
        <f>IF(OR(LR5="N",LR5="N/A"),"N/A",'Hard Services'!H144)</f>
        <v>0</v>
      </c>
      <c r="LT5" s="18">
        <f>IF(OR(LR5="N",LR5="N/A"),"N/A",'Hard Services'!D146)</f>
        <v>0</v>
      </c>
      <c r="LU5" s="18">
        <f>IF(OR(LR5="N",LR5="N/A"),"N/A",'Hard Services'!H146)</f>
        <v>0</v>
      </c>
      <c r="LV5" s="18">
        <f>IF(OR(LR5="N",LR5="N/A"),"N/A",'Hard Services'!D148)</f>
        <v>0</v>
      </c>
      <c r="LW5" s="18">
        <f>IF(OR(LR5="N",LR5="N/A"),"N/A",'Hard Services'!D150)</f>
        <v>0</v>
      </c>
      <c r="LX5" s="18">
        <f>IF(KX5="N","N/A",'Hard Services'!D152)</f>
        <v>0</v>
      </c>
      <c r="LY5" s="18">
        <f>IF(OR(LX5="N",LX5="N/A"),"N/A",'Hard Services'!H152)</f>
        <v>0</v>
      </c>
      <c r="LZ5" s="18">
        <f>IF(OR(LX5="N",LX5="N/A"),"N/A",'Hard Services'!D154)</f>
        <v>0</v>
      </c>
      <c r="MA5" s="18">
        <f>IF(OR(LX5="N",LX5="N/A"),"N/A",'Hard Services'!H154)</f>
        <v>0</v>
      </c>
      <c r="MB5" s="18">
        <f>IF(OR(LX5="N",LX5="N/A"),"N/A",'Hard Services'!D156)</f>
        <v>0</v>
      </c>
      <c r="MC5" s="18">
        <f>IF(OR(LX5="N",LX5="N/A"),"N/A",'Hard Services'!D158)</f>
        <v>0</v>
      </c>
      <c r="MD5" s="18">
        <f>IF(KX5="N","N/A",'Hard Services'!D160)</f>
        <v>0</v>
      </c>
      <c r="ME5" s="18">
        <f>IF(OR(MD5="N",MD5="N/A"),"N/A",'Hard Services'!H160)</f>
        <v>0</v>
      </c>
      <c r="MF5" s="18">
        <f>IF(OR(MD5="N",MD5="N/A"),"N/A",'Hard Services'!D162)</f>
        <v>0</v>
      </c>
      <c r="MG5" s="18">
        <f>IF(OR(MD5="N",MD5="N/A"),"N/A",'Hard Services'!H162)</f>
        <v>0</v>
      </c>
      <c r="MH5" s="18">
        <f>IF(OR(MD5="N",MD5="N/A"),"N/A",'Hard Services'!D164)</f>
        <v>0</v>
      </c>
      <c r="MI5" s="18">
        <f>IF(OR(MD5="N",MD5="N/A"),"N/A",'Hard Services'!D166)</f>
        <v>0</v>
      </c>
      <c r="MJ5" s="18">
        <f>'Hard Services'!D28</f>
        <v>0</v>
      </c>
      <c r="MK5" s="18">
        <f>IF(MJ5="N","N/A",'Hard Services'!D170)</f>
        <v>0</v>
      </c>
      <c r="ML5" s="18">
        <f>IF(OR(MK5="N",MK5="N/A"),"N/A",'Hard Services'!H170)</f>
        <v>0</v>
      </c>
      <c r="MM5" s="18">
        <f>IF(OR(MK5="N",MK5="N/A"),"N/A",'Hard Services'!D172)</f>
        <v>0</v>
      </c>
      <c r="MN5" s="18">
        <f>IF(OR(MK5="N",MK5="N/A"),"N/A",'Hard Services'!H172)</f>
        <v>0</v>
      </c>
      <c r="MO5" s="18">
        <f>IF(OR(MK5="N",MK5="N/A"),"N/A",'Hard Services'!D174)</f>
        <v>0</v>
      </c>
      <c r="MP5" s="18">
        <f>IF(OR(MK5="N",MK5="N/A"),"N/A",'Hard Services'!H174)</f>
        <v>0</v>
      </c>
      <c r="MQ5" s="18">
        <f>IF(OR(MK5="N",MK5="N/A"),"N/A",'Hard Services'!D176)</f>
        <v>0</v>
      </c>
      <c r="MR5" s="18">
        <f>IF(MJ5="N","N/A",'Hard Services'!D178)</f>
        <v>0</v>
      </c>
      <c r="MS5" s="109">
        <f>IF(OR(MR5="N/A",MR5="N"),"N/A",'Hard Services'!H178)</f>
        <v>0</v>
      </c>
      <c r="MT5" s="18">
        <f>IF(OR(MR5="N/A",MR5="N"),"N/A",'Hard Services'!D1800)</f>
        <v>0</v>
      </c>
      <c r="MU5" s="18">
        <f>IF(OR(MR5="N/A",MR5="N"),"N/A",'Hard Services'!H180)</f>
        <v>0</v>
      </c>
      <c r="MV5" s="18">
        <f>IF(OR(MR5="N/A",MR5="N"),"N/A",'Hard Services'!D182)</f>
        <v>0</v>
      </c>
      <c r="MW5" s="18">
        <f>IF(OR(MR5="N/A",MR5="N"),"N/A",'Hard Services'!H182)</f>
        <v>0</v>
      </c>
      <c r="MX5" s="18">
        <f>IF(OR(MR5="N/A",MR5="N"),"N/A",'Hard Services'!D184)</f>
        <v>0</v>
      </c>
      <c r="MY5" s="18">
        <f>IF(MJ5="N","N/A",'Hard Services'!D186)</f>
        <v>0</v>
      </c>
      <c r="MZ5" s="18">
        <f>IF(OR(MY5="N",MY5="N/A"),"N/A",'Hard Services'!H186)</f>
        <v>0</v>
      </c>
      <c r="NA5" s="18">
        <f>IF(OR(MY5="N",MY5="N/A"),"N/A",'Hard Services'!D188)</f>
        <v>0</v>
      </c>
      <c r="NB5" s="18">
        <f>IF(OR(MY5="N",MY5="N/A"),"N/A",'Hard Services'!H188)</f>
        <v>0</v>
      </c>
      <c r="NC5" s="18">
        <f>IF(OR(MY5="N",MY5="N/A"),"N/A",'Hard Services'!D190)</f>
        <v>0</v>
      </c>
      <c r="ND5" s="18">
        <f>IF(OR(MY5="N",MY5="N/A"),"N/A",'Hard Services'!H192)</f>
        <v>0</v>
      </c>
      <c r="NE5" s="18">
        <f>IF(OR(MY5="N",MY5="N/A"),"N/A",'Hard Services'!D194)</f>
        <v>0</v>
      </c>
      <c r="NF5" s="18">
        <f>IF(OR(MY5="N",MY5="N/A"),"N/A",'Hard Services'!H194)</f>
        <v>0</v>
      </c>
      <c r="NG5" s="18">
        <f>IF(OR(MY5="N",MY5="N/A"),"N/A",'Hard Services'!D196)</f>
        <v>0</v>
      </c>
      <c r="NH5" s="18">
        <f>IF(MJ5="N","N/A",'Hard Services'!D198)</f>
        <v>0</v>
      </c>
      <c r="NI5" s="18">
        <f>IF(OR(NH5="N",NH5="N/A"),"N/A",'Hard Services'!H198)</f>
        <v>0</v>
      </c>
      <c r="NJ5" s="18">
        <f>IF(OR(NH5="N",NH5="N/A"),"N/A",'Hard Services'!D200)</f>
        <v>0</v>
      </c>
      <c r="NK5" s="18">
        <f>IF(OR(NH5="N",NH5="N/A"),"N/A",'Hard Services'!H200)</f>
        <v>0</v>
      </c>
      <c r="NL5" s="18">
        <f>IF(OR(NH5="N",NH5="N/A"),"N/A",'Hard Services'!D202)</f>
        <v>0</v>
      </c>
      <c r="NM5" s="18">
        <f>IF(MJ5="N","N/A",'Hard Services'!D204)</f>
        <v>0</v>
      </c>
      <c r="NN5" s="18">
        <f>IF(OR(NM5="N",NM5="N/A"),"N/A",'Hard Services'!H204)</f>
        <v>0</v>
      </c>
      <c r="NO5" s="18">
        <f>IF(OR(NM5="N",NM5="N/A"),"N/A",'Hard Services'!D206)</f>
        <v>0</v>
      </c>
      <c r="NP5" s="18">
        <f>IF(OR(NM5="N",NM5="N/A"),"N/A",'Hard Services'!H206)</f>
        <v>0</v>
      </c>
      <c r="NQ5" s="18">
        <f>IF(OR(NM5="N",NM5="N/A"),"N/A",'Hard Services'!D208)</f>
        <v>0</v>
      </c>
      <c r="NR5" s="18">
        <f>IF(MJ5="N","N/A",'Hard Services'!D210)</f>
        <v>0</v>
      </c>
      <c r="NS5" s="18">
        <f>IF(OR(NR5="N",NR5="N/A"),"N/A",'Hard Services'!H210)</f>
        <v>0</v>
      </c>
      <c r="NT5" s="18">
        <f>IF(OR(NR5="N",NR5="N/A"),"N/A",'Hard Services'!D212)</f>
        <v>0</v>
      </c>
      <c r="NU5" s="18">
        <f>IF(OR(NR5="N",NR5="N/A"),"N/A",'Hard Services'!H212)</f>
        <v>0</v>
      </c>
      <c r="NV5" s="18">
        <f>IF(OR(NR5="N",NR5="N/A"),"N/A",'Hard Services'!D214)</f>
        <v>0</v>
      </c>
      <c r="NW5" s="18">
        <f>IF(MJ5="N","N/A",'Hard Services'!D216)</f>
        <v>0</v>
      </c>
      <c r="NX5" s="18">
        <f>IF(OR(NW5="N",NW5="N/A"),"N/A",'Hard Services'!H216)</f>
        <v>0</v>
      </c>
      <c r="NY5" s="18">
        <f>IF(OR(NW5="N",NW5="N/A"),"N/A",'Hard Services'!D218)</f>
        <v>0</v>
      </c>
      <c r="NZ5" s="18">
        <f>IF(OR(NW5="N",NW5="N/A"),"N/A",'Hard Services'!H218)</f>
        <v>0</v>
      </c>
      <c r="OA5" s="18">
        <f>IF(OR(NW5="N",NW5="N/A"),"N/A",'Hard Services'!D220)</f>
        <v>0</v>
      </c>
      <c r="OB5" s="18">
        <f>IF(MJ5="N","N/A",'Hard Services'!D222)</f>
        <v>0</v>
      </c>
      <c r="OC5" s="18">
        <f>IF(OR(OB5="N",OB5="N/A"),"N/A",'Hard Services'!H222)</f>
        <v>0</v>
      </c>
      <c r="OD5" s="18">
        <f>IF(OR(OB5="N",OB5="N/A"),"N/A",'Hard Services'!D224)</f>
        <v>0</v>
      </c>
      <c r="OE5" s="18">
        <f>IF(OR(OB5="N",OB5="N/A"),"N/A",'Hard Services'!H224)</f>
        <v>0</v>
      </c>
      <c r="OF5" s="18">
        <f>IF(OR(OB5="N",OB5="N/A"),"N/A",'Hard Services'!D226)</f>
        <v>0</v>
      </c>
      <c r="OG5" s="18">
        <f>IF(MJ5="N","N/A",'Hard Services'!D228)</f>
        <v>0</v>
      </c>
      <c r="OH5" s="18">
        <f>IF(OR(OG5="N",OG5="N/A"),"N/A",'Hard Services'!H228)</f>
        <v>0</v>
      </c>
      <c r="OI5" s="18">
        <f>IF(OR(OG5="N",OG5="N/A"),"N/A",'Hard Services'!D230)</f>
        <v>0</v>
      </c>
      <c r="OJ5" s="18">
        <f>IF(OR(OG5="N",OG5="N/A"),"N/A",'Hard Services'!H230)</f>
        <v>0</v>
      </c>
      <c r="OK5" s="18">
        <f>IF(OR(OG5="N",OG5="N/A"),"N/A",'Hard Services'!D232)</f>
        <v>0</v>
      </c>
      <c r="OL5" s="18">
        <f>IF(MJ5="N","N/A",'Hard Services'!D234)</f>
        <v>0</v>
      </c>
      <c r="OM5" s="18">
        <f>IF(OR(OL5="N",OL5="N/A"),"N/A",'Hard Services'!H234)</f>
        <v>0</v>
      </c>
      <c r="ON5" s="18">
        <f>IF(OR(OL5="N",OL5="N/A"),"N/A",'Hard Services'!D236)</f>
        <v>0</v>
      </c>
      <c r="OO5" s="18">
        <f>IF(OR(OL5="N",OL5="N/A"),"N/A",'Hard Services'!H236)</f>
        <v>0</v>
      </c>
      <c r="OP5" s="18">
        <f>IF(OR(OL5="N",OL5="N/A"),"N/A",'Hard Services'!D238)</f>
        <v>0</v>
      </c>
      <c r="OQ5" s="18">
        <f>IF(OR(OL5="N",OL5="N/A"),"N/A",'Hard Services'!H238)</f>
        <v>0</v>
      </c>
      <c r="OR5" s="18">
        <f>IF(OR(OL5="N",OL5="N/A"),"N/A",'Hard Services'!D240)</f>
        <v>0</v>
      </c>
      <c r="OS5" s="18">
        <f>IF(MJ5="N","N/A",'Hard Services'!D242)</f>
        <v>0</v>
      </c>
      <c r="OT5" s="18">
        <f>IF(OR(OS5="N",OS5="N/A"),"N/A",'Hard Services'!H242)</f>
        <v>0</v>
      </c>
      <c r="OU5" s="18">
        <f>IF(OR(OS5="N",OS5="N/A"),"N/A",'Hard Services'!D244)</f>
        <v>0</v>
      </c>
      <c r="OV5" s="18">
        <f>IF(OR(OS5="N",OS5="N/A"),"N/A",'Hard Services'!H244)</f>
        <v>0</v>
      </c>
      <c r="OW5" s="18">
        <f>IF(OR(OS5="N",OS5="N/A"),"N/A",'Hard Services'!D246)</f>
        <v>0</v>
      </c>
      <c r="OX5" s="18">
        <f>IF(OR(OS5="N",OS5="N/A"),"N/A",'Hard Services'!H246)</f>
        <v>0</v>
      </c>
      <c r="OY5" s="18">
        <f>IF(OR(OS5="N",OS5="N/A"),"N/A",'Hard Services'!D248)</f>
        <v>0</v>
      </c>
      <c r="OZ5" s="18">
        <f>'Hard Services'!D30</f>
        <v>0</v>
      </c>
      <c r="PA5" s="18">
        <f>IF(OZ5="N","N/A",'Hard Services'!D252)</f>
        <v>0</v>
      </c>
      <c r="PB5" s="18">
        <f>IF(OR(PA5="N",PA5="N/A"),"N/A",'Hard Services'!H252)</f>
        <v>0</v>
      </c>
      <c r="PC5" s="18">
        <f>IF(OR(PA5="N",PA5="N/A"),"N/A",'Hard Services'!D254)</f>
        <v>0</v>
      </c>
      <c r="PD5" s="18">
        <f>IF(OR(PA5="N",PA5="N/A"),"N/A",'Hard Services'!D256)</f>
        <v>0</v>
      </c>
      <c r="PE5" s="18">
        <f>IF(OR(PA5="N",PA5="N/A"),"N/A",'Hard Services'!H256)</f>
        <v>0</v>
      </c>
      <c r="PF5" s="18">
        <f>IF(OR(PA5="N",PA5="N/A"),"N/A",'Hard Services'!D258)</f>
        <v>0</v>
      </c>
      <c r="PG5" s="18">
        <f>IF(OR(PA5="N",PA5="N/A"),"N/A",'Hard Services'!D260)</f>
        <v>0</v>
      </c>
      <c r="PH5" s="18">
        <f>IF(OR(PA5="N",PA5="N/A"),"N/A",'Hard Services'!D262)</f>
        <v>0</v>
      </c>
      <c r="PI5" s="18">
        <f>IF(OZ5="N","N/A",'Hard Services'!D264)</f>
        <v>0</v>
      </c>
      <c r="PJ5" s="18">
        <f>IF(OR(PI5="N",PI5="N/A"),"N/A",'Hard Services'!H264)</f>
        <v>0</v>
      </c>
      <c r="PK5" s="18">
        <f>IF(OR(PI5="N",PI5="N/A"),"N/A",'Hard Services'!D266)</f>
        <v>0</v>
      </c>
      <c r="PL5" s="18">
        <f>IF(OR(PI5="N",PI5="N/A"),"N/A",'Hard Services'!D268)</f>
        <v>0</v>
      </c>
      <c r="PM5" s="18">
        <f>IF(OR(PI5="N",PI5="N/A"),"N/A",'Hard Services'!H268)</f>
        <v>0</v>
      </c>
      <c r="PN5" s="18">
        <f>IF(OR(PI5="N",PI5="N/A"),"N/A",'Hard Services'!D270)</f>
        <v>0</v>
      </c>
      <c r="PO5" s="18">
        <f>IF(OR(PI5="N",PI5="N/A"),"N/A",'Hard Services'!D272)</f>
        <v>0</v>
      </c>
      <c r="PP5" s="18">
        <f>IF(OR(PI5="N",PI5="N/A"),"N/A",'Hard Services'!H272)</f>
        <v>0</v>
      </c>
      <c r="PQ5" s="18">
        <f>IF(OR(PI5="N",PI5="N/A"),"N/A",'Hard Services'!D274)</f>
        <v>0</v>
      </c>
      <c r="PR5" s="18">
        <f>'Hard Services'!D32</f>
        <v>0</v>
      </c>
      <c r="PS5" s="18">
        <f>IF(PR5="N","N/A",'Hard Services'!D278)</f>
        <v>0</v>
      </c>
      <c r="PT5" s="18">
        <f>IF(OR(PS5="N",PS5="N/A"),"N/A",'Hard Services'!H278)</f>
        <v>0</v>
      </c>
      <c r="PU5" s="18">
        <f>IF(OR(PS5="N",PS5="N/A"),"N/A",'Hard Services'!D280)</f>
        <v>0</v>
      </c>
      <c r="PV5" s="18">
        <f>IF(OR(PS5="N",PS5="N/A"),"N/A",'Hard Services'!D282)</f>
        <v>0</v>
      </c>
      <c r="PW5" s="18">
        <f>IF(OR(PS5="N",PS5="N/A"),"N/A",'Hard Services'!H282)</f>
        <v>0</v>
      </c>
      <c r="PX5" s="18">
        <f>IF(OR(PS5="N",PS5="N/A"),"N/A",'Hard Services'!D284)</f>
        <v>0</v>
      </c>
      <c r="PY5" s="18">
        <f>IF(PR5="N","N/A",'Hard Services'!D286)</f>
        <v>0</v>
      </c>
      <c r="PZ5" s="18">
        <f>IF(OR(PY5="N",PY5="N/A"),"N/A",'Hard Services'!H286)</f>
        <v>0</v>
      </c>
      <c r="QA5" s="18">
        <f>IF(OR(PY5="N",PY5="N/A"),"N/A",'Hard Services'!D288)</f>
        <v>0</v>
      </c>
      <c r="QB5" s="18">
        <f>IF(OR(PY5="N",PY5="N/A"),"N/A",'Hard Services'!D290)</f>
        <v>0</v>
      </c>
      <c r="QC5" s="18">
        <f>IF(OR(PY5="N",PY5="N/A"),"N/A",'Hard Services'!H290)</f>
        <v>0</v>
      </c>
      <c r="QD5" s="18">
        <f>IF(OR(PY5="N",PY5="N/A"),"N/A",'Hard Services'!D292)</f>
        <v>0</v>
      </c>
      <c r="QE5" s="18">
        <f>IF(PR5="N","N/A",'Hard Services'!D294)</f>
        <v>0</v>
      </c>
      <c r="QF5" s="18">
        <f>IF(OR(QE5="N",QE5="N/A"),"N/A",'Hard Services'!H294)</f>
        <v>0</v>
      </c>
      <c r="QG5" s="18">
        <f>IF(OR(QE5="N",QE5="N/A"),"N/A",'Hard Services'!D296)</f>
        <v>0</v>
      </c>
      <c r="QH5" s="18">
        <f>IF(OR(QE5="N",QE5="N/A"),"N/A",'Hard Services'!H296)</f>
        <v>0</v>
      </c>
      <c r="QI5" s="18">
        <f>IF(OR(QE5="N",QE5="N/A"),"N/A",'Hard Services'!D298)</f>
        <v>0</v>
      </c>
      <c r="QJ5" s="18">
        <f>IF(PR5="N","N/A",'Hard Services'!D300)</f>
        <v>0</v>
      </c>
      <c r="QK5" s="18">
        <f>IF(OR(QJ5="N",QJ5="N/A"),"N/A",'Hard Services'!H300)</f>
        <v>0</v>
      </c>
      <c r="QL5" s="18">
        <f>IF(OR(QJ5="N",QJ5="N/A"),"N/A",'Hard Services'!D302)</f>
        <v>0</v>
      </c>
      <c r="QM5" s="18">
        <f>IF(OR(QJ5="N",QJ5="N/A"),"N/A",'Hard Services'!H302)</f>
        <v>0</v>
      </c>
      <c r="QN5" s="18">
        <f>IF(OR(QJ5="N",QJ5="N/A"),"N/A",'Hard Services'!D304)</f>
        <v>0</v>
      </c>
      <c r="QO5" s="18">
        <f>IF(OR(QJ5="N",QJ5="N/A"),"N/A",'Hard Services'!D306)</f>
        <v>0</v>
      </c>
      <c r="QP5" s="18">
        <f>IF(PR5="N","N/A",'Hard Services'!D308)</f>
        <v>0</v>
      </c>
      <c r="QQ5" s="18">
        <f>IF(OR(QP5="N",QP5="N/A"),"N/A",'Hard Services'!H308)</f>
        <v>0</v>
      </c>
      <c r="QR5" s="18">
        <f>IF(OR(QP5="N",QP5="N/A"),"N/A",'Hard Services'!D310)</f>
        <v>0</v>
      </c>
      <c r="QS5" s="18">
        <f>IF(OR(QP5="N",QP5="N/A"),"N/A",'Hard Services'!H310)</f>
        <v>0</v>
      </c>
      <c r="QT5" s="18">
        <f>IF(OR(QP5="N",QP5="N/A"),"N/A",'Hard Services'!D312)</f>
        <v>0</v>
      </c>
      <c r="QU5" s="18">
        <f>IF(OR(QP5="N",QP5="N/A"),"N/A",'Hard Services'!D314)</f>
        <v>0</v>
      </c>
      <c r="QV5" s="18">
        <f>IF(PR5="N","N/A",'Hard Services'!D316)</f>
        <v>0</v>
      </c>
      <c r="QW5" s="18">
        <f>IF(OR(QV5="N",QV5="N/A"),"N/A",'Hard Services'!H316)</f>
        <v>0</v>
      </c>
      <c r="QX5" s="18">
        <f>IF(OR(QV5="N",QV5="N/A"),"N/A",'Hard Services'!D318)</f>
        <v>0</v>
      </c>
      <c r="QY5" s="18">
        <f>IF(OR(QV5="N",QV5="N/A"),"N/A",'Hard Services'!H318)</f>
        <v>0</v>
      </c>
      <c r="QZ5" s="18">
        <f>IF(OR(QV5="N",QV5="N/A"),"N/A",'Hard Services'!D320)</f>
        <v>0</v>
      </c>
      <c r="RA5" s="18">
        <f>IF(OR(QV5="N",QV5="N/A"),"N/A",'Hard Services'!D322)</f>
        <v>0</v>
      </c>
      <c r="RB5" s="18">
        <f>'Hard Services'!D34</f>
        <v>0</v>
      </c>
      <c r="RC5" s="18">
        <f>'Hard Services'!D36</f>
        <v>0</v>
      </c>
      <c r="RD5" s="18">
        <f>'Hard Services'!H36</f>
        <v>0</v>
      </c>
      <c r="RE5" s="18" t="str">
        <f>IF('Hard Services'!F3="","N/A",'Hard Services'!F3)</f>
        <v>N/A</v>
      </c>
      <c r="RF5" s="18">
        <f>'Cleaning and soft services'!D12</f>
        <v>0</v>
      </c>
      <c r="RG5" s="18">
        <f>'Cleaning and soft services'!D14</f>
        <v>0</v>
      </c>
      <c r="RH5" s="18">
        <f>IF(RG5="N","N/A",'Cleaning and soft services'!H14)</f>
        <v>0</v>
      </c>
      <c r="RI5" s="18">
        <f>'Cleaning and soft services'!D16</f>
        <v>0</v>
      </c>
      <c r="RJ5" s="18">
        <f>IF(RI5="N","N/A",'Cleaning and soft services'!H16)</f>
        <v>0</v>
      </c>
      <c r="RK5" s="18">
        <f>'Cleaning and soft services'!D32</f>
        <v>0</v>
      </c>
      <c r="RL5" s="18">
        <f>'Cleaning and soft services'!D34</f>
        <v>0</v>
      </c>
      <c r="RM5" s="18">
        <f>'Cleaning and soft services'!H34</f>
        <v>0</v>
      </c>
      <c r="RN5" s="18">
        <f>'Cleaning and soft services'!D36</f>
        <v>0</v>
      </c>
      <c r="RO5" s="18">
        <f>'Cleaning and soft services'!D38</f>
        <v>0</v>
      </c>
      <c r="RP5" s="18">
        <f>'Cleaning and soft services'!H38</f>
        <v>0</v>
      </c>
      <c r="RQ5" s="18">
        <f>'Cleaning and soft services'!D40</f>
        <v>0</v>
      </c>
      <c r="RR5" s="18">
        <f>IF(RQ5="N","N/A",'Cleaning and soft services'!H40)</f>
        <v>0</v>
      </c>
      <c r="RS5" s="18">
        <f>'Cleaning and soft services'!D42</f>
        <v>0</v>
      </c>
      <c r="RT5" s="18">
        <f>IF(RS5="N","N/A",'Cleaning and soft services'!H42)</f>
        <v>0</v>
      </c>
      <c r="RU5" s="18">
        <f>'Cleaning and soft services'!D44</f>
        <v>0</v>
      </c>
      <c r="RV5" s="18">
        <f>IF(RU5="N","N/A",'Cleaning and soft services'!H44)</f>
        <v>0</v>
      </c>
      <c r="RW5" s="18">
        <f>'Cleaning and soft services'!D46</f>
        <v>0</v>
      </c>
      <c r="RX5" s="18">
        <f>IF(RW5="N","N/A",'Cleaning and soft services'!H46)</f>
        <v>0</v>
      </c>
      <c r="RY5" s="18">
        <f>IF(RW5="N","N/A",'Cleaning and soft services'!D48)</f>
        <v>0</v>
      </c>
      <c r="RZ5" s="18">
        <f>'Cleaning and soft services'!D50</f>
        <v>0</v>
      </c>
      <c r="SA5" s="18">
        <f>IF(RZ5="N","N/A",'Cleaning and soft services'!H50)</f>
        <v>0</v>
      </c>
      <c r="SB5" s="18">
        <f>'Cleaning and soft services'!D52</f>
        <v>0</v>
      </c>
      <c r="SC5" s="18">
        <f>IF(SB5="N","N/A",'Cleaning and soft services'!H52)</f>
        <v>0</v>
      </c>
      <c r="SD5" s="18" t="str">
        <f>IF('Cleaning and soft services'!D56="","N/A",'Cleaning and soft services'!D56)</f>
        <v>N/A</v>
      </c>
      <c r="SE5" s="18" t="str">
        <f>IF(OR(SD5="N",SD5="N/A"),"N/A",'Cleaning and soft services'!H56)</f>
        <v>N/A</v>
      </c>
      <c r="SF5" s="18" t="str">
        <f>IF(OR(SD5="N",SD5="N/A"),"N/A",'Cleaning and soft services'!D58)</f>
        <v>N/A</v>
      </c>
      <c r="SG5" s="18" t="str">
        <f>IF(OR(SD5="N",SD5="N/A"),"N/A",'Cleaning and soft services'!H58)</f>
        <v>N/A</v>
      </c>
      <c r="SH5" s="18">
        <f>'Cleaning and soft services'!D60</f>
        <v>0</v>
      </c>
      <c r="SI5" s="18">
        <f>IF(SH5="N","N/A",'Cleaning and soft services'!H60)</f>
        <v>0</v>
      </c>
      <c r="SJ5" s="18">
        <f>'Cleaning and soft services'!D62</f>
        <v>0</v>
      </c>
      <c r="SK5" s="18">
        <f>IF(SJ5="N","N/A",'Cleaning and soft services'!H62)</f>
        <v>0</v>
      </c>
      <c r="SL5" s="18">
        <f>'Cleaning and soft services'!D64</f>
        <v>0</v>
      </c>
      <c r="SM5" s="18">
        <f>IF(SL5="N","N/A",'Cleaning and soft services'!H64)</f>
        <v>0</v>
      </c>
      <c r="SN5" s="18">
        <f>'Cleaning and soft services'!D66</f>
        <v>0</v>
      </c>
      <c r="SO5" s="18">
        <f>IF(SN5="N","N/A",'Cleaning and soft services'!H66)</f>
        <v>0</v>
      </c>
      <c r="SP5" s="18">
        <f>'Cleaning and soft services'!D68</f>
        <v>0</v>
      </c>
      <c r="SQ5" s="18">
        <f>IF(SP5="N","N/A",'Cleaning and soft services'!H68)</f>
        <v>0</v>
      </c>
      <c r="SR5" s="18">
        <f>'Cleaning and soft services'!D70</f>
        <v>0</v>
      </c>
      <c r="SS5" s="18">
        <f>IF(SR5="N", "N/A",'Cleaning and soft services'!H70)</f>
        <v>0</v>
      </c>
      <c r="ST5" s="18">
        <f>'Cleaning and soft services'!D72</f>
        <v>0</v>
      </c>
      <c r="SU5" s="18">
        <f>IF(ST5="N","N/A",'Cleaning and soft services'!H72)</f>
        <v>0</v>
      </c>
      <c r="SV5" s="18">
        <f>'Cleaning and soft services'!D76</f>
        <v>0</v>
      </c>
      <c r="SW5" s="18">
        <f>IF(SV5="N","N/A",'Cleaning and soft services'!H76)</f>
        <v>0</v>
      </c>
      <c r="SX5" s="18">
        <f>IF(SV5="N","N/A",'Cleaning and soft services'!D78)</f>
        <v>0</v>
      </c>
      <c r="SY5" s="18">
        <f>'Cleaning and soft services'!D80</f>
        <v>0</v>
      </c>
      <c r="SZ5" s="18">
        <f>IF(SY5="N","N/A",'Cleaning and soft services'!H80)</f>
        <v>0</v>
      </c>
      <c r="TA5" s="18">
        <f>'Cleaning and soft services'!D82</f>
        <v>0</v>
      </c>
      <c r="TB5" s="18">
        <f>IF(TA5="N","N/A",'Cleaning and soft services'!H82)</f>
        <v>0</v>
      </c>
      <c r="TC5" s="18">
        <f>'Cleaning and soft services'!D84</f>
        <v>0</v>
      </c>
      <c r="TD5" s="18">
        <f>IF(TC5="N","N/A",'Cleaning and soft services'!H84)</f>
        <v>0</v>
      </c>
      <c r="TE5" s="18">
        <f>'Cleaning and soft services'!D20</f>
        <v>0</v>
      </c>
      <c r="TF5" s="18">
        <f>IF(TE5="N","N/A",'Cleaning and soft services'!D88)</f>
        <v>0</v>
      </c>
      <c r="TG5" s="18">
        <f>'Cleaning and soft services'!D90</f>
        <v>0</v>
      </c>
      <c r="TH5" s="18">
        <f>'Cleaning and soft services'!H90</f>
        <v>0</v>
      </c>
      <c r="TI5" s="18">
        <f>'Cleaning and soft services'!D92</f>
        <v>0</v>
      </c>
      <c r="TJ5" s="18">
        <f>'Cleaning and soft services'!H92</f>
        <v>0</v>
      </c>
      <c r="TK5" s="18">
        <f>'Cleaning and soft services'!D94</f>
        <v>0</v>
      </c>
      <c r="TL5" s="18">
        <f>'Cleaning and soft services'!D22</f>
        <v>0</v>
      </c>
      <c r="TM5" s="18">
        <f>'Cleaning and soft services'!D98</f>
        <v>0</v>
      </c>
      <c r="TN5" s="18">
        <f>'Cleaning and soft services'!D100</f>
        <v>0</v>
      </c>
      <c r="TO5" s="18">
        <f>'Cleaning and soft services'!H100</f>
        <v>0</v>
      </c>
      <c r="TP5" s="18">
        <f>'Cleaning and soft services'!D102</f>
        <v>0</v>
      </c>
      <c r="TQ5" s="18">
        <f>'Cleaning and soft services'!H102</f>
        <v>0</v>
      </c>
      <c r="TR5" s="18">
        <f>'Cleaning and soft services'!D104</f>
        <v>0</v>
      </c>
      <c r="TS5" s="18">
        <f>'Cleaning and soft services'!D24</f>
        <v>0</v>
      </c>
      <c r="TT5" s="18">
        <f>'Cleaning and soft services'!H24</f>
        <v>0</v>
      </c>
      <c r="TU5" s="18">
        <f>'Cleaning and soft services'!D18</f>
        <v>0</v>
      </c>
      <c r="TV5" s="18">
        <f>'Cleaning and soft services'!D108</f>
        <v>0</v>
      </c>
      <c r="TW5" s="18">
        <f>'Cleaning and soft services'!H108</f>
        <v>0</v>
      </c>
      <c r="TX5" s="18">
        <f>'Cleaning and soft services'!D110</f>
        <v>0</v>
      </c>
      <c r="TY5" s="18">
        <f>'Cleaning and soft services'!H110</f>
        <v>0</v>
      </c>
      <c r="TZ5" s="18">
        <f>'Cleaning and soft services'!D112</f>
        <v>0</v>
      </c>
      <c r="UA5" s="18">
        <f>'Cleaning and soft services'!H112</f>
        <v>0</v>
      </c>
      <c r="UB5" s="18">
        <f>'Cleaning and soft services'!D114</f>
        <v>0</v>
      </c>
      <c r="UC5" s="18">
        <f>'Cleaning and soft services'!H114</f>
        <v>0</v>
      </c>
      <c r="UD5" s="18">
        <f>'Cleaning and soft services'!D116</f>
        <v>0</v>
      </c>
      <c r="UE5" s="18">
        <f>'Cleaning and soft services'!H116</f>
        <v>0</v>
      </c>
      <c r="UF5" s="18">
        <f>'Cleaning and soft services'!D118</f>
        <v>0</v>
      </c>
      <c r="UG5" s="18">
        <f>'Cleaning and soft services'!D120</f>
        <v>0</v>
      </c>
      <c r="UH5" s="18">
        <f>'Cleaning and soft services'!D122</f>
        <v>0</v>
      </c>
      <c r="UI5" s="18">
        <f>'Cleaning and soft services'!H122</f>
        <v>0</v>
      </c>
      <c r="UJ5" s="18">
        <f>'Cleaning and soft services'!D124</f>
        <v>0</v>
      </c>
      <c r="UK5" s="18">
        <f>'Cleaning and soft services'!D126</f>
        <v>0</v>
      </c>
      <c r="UL5" s="18">
        <f>'Cleaning and soft services'!D128</f>
        <v>0</v>
      </c>
      <c r="UM5" s="18">
        <f>'Cleaning and soft services'!D130</f>
        <v>0</v>
      </c>
      <c r="UN5" s="18">
        <f>'Cleaning and soft services'!D132</f>
        <v>0</v>
      </c>
      <c r="UO5" s="18">
        <f>'Cleaning and soft services'!H132</f>
        <v>0</v>
      </c>
      <c r="UP5" s="18">
        <f>'Cleaning and soft services'!D134</f>
        <v>0</v>
      </c>
      <c r="UQ5" s="18">
        <f>'Cleaning and soft services'!H134</f>
        <v>0</v>
      </c>
      <c r="UR5" s="18">
        <f>'Cleaning and soft services'!D136</f>
        <v>0</v>
      </c>
      <c r="US5" s="18">
        <f>'Cleaning and soft services'!H136</f>
        <v>0</v>
      </c>
      <c r="UT5" s="18">
        <f>'Cleaning and soft services'!D138</f>
        <v>0</v>
      </c>
      <c r="UU5" s="18">
        <f>'Cleaning and soft services'!H138</f>
        <v>0</v>
      </c>
      <c r="UV5" s="18">
        <f>'Cleaning and soft services'!D140</f>
        <v>0</v>
      </c>
      <c r="UW5" s="18">
        <f>'Cleaning and soft services'!D142</f>
        <v>0</v>
      </c>
      <c r="UX5" s="18">
        <f>'Cleaning and soft services'!H142</f>
        <v>0</v>
      </c>
      <c r="UY5" s="18">
        <f>'Cleaning and soft services'!D144</f>
        <v>0</v>
      </c>
      <c r="UZ5" s="18">
        <f>'Cleaning and soft services'!D146</f>
        <v>0</v>
      </c>
      <c r="VA5" s="18">
        <f>'Cleaning and soft services'!D148</f>
        <v>0</v>
      </c>
      <c r="VB5" s="18">
        <f>'Cleaning and soft services'!D150</f>
        <v>0</v>
      </c>
      <c r="VC5" s="18">
        <f>'Cleaning and soft services'!D152</f>
        <v>0</v>
      </c>
      <c r="VD5" s="18">
        <f>'Cleaning and soft services'!H152</f>
        <v>0</v>
      </c>
      <c r="VE5" s="18">
        <f>'Cleaning and soft services'!D154</f>
        <v>0</v>
      </c>
      <c r="VF5" s="18">
        <f>'Cleaning and soft services'!D156</f>
        <v>0</v>
      </c>
      <c r="VG5" s="18">
        <f>'Cleaning and soft services'!D158</f>
        <v>0</v>
      </c>
      <c r="VH5" s="18">
        <f>'Cleaning and soft services'!D160</f>
        <v>0</v>
      </c>
      <c r="VI5" s="18">
        <f>'Cleaning and soft services'!D162</f>
        <v>0</v>
      </c>
      <c r="VJ5" s="18">
        <f>'Cleaning and soft services'!H162</f>
        <v>0</v>
      </c>
      <c r="VK5" s="18">
        <f>'Cleaning and soft services'!D164</f>
        <v>0</v>
      </c>
      <c r="VL5" s="18">
        <f>'Cleaning and soft services'!D166</f>
        <v>0</v>
      </c>
      <c r="VM5" s="18">
        <f>'Cleaning and soft services'!D168</f>
        <v>0</v>
      </c>
      <c r="VN5" s="18">
        <f>'Cleaning and soft services'!H168</f>
        <v>0</v>
      </c>
      <c r="VO5" s="18">
        <f>'Cleaning and soft services'!D170</f>
        <v>0</v>
      </c>
      <c r="VP5" s="18">
        <f>'Cleaning and soft services'!H170</f>
        <v>0</v>
      </c>
      <c r="VQ5" s="18">
        <f>'Cleaning and soft services'!D172</f>
        <v>0</v>
      </c>
      <c r="VR5" s="18">
        <f>'Cleaning and soft services'!H172</f>
        <v>0</v>
      </c>
      <c r="VS5" s="18">
        <f>'Cleaning and soft services'!D174</f>
        <v>0</v>
      </c>
      <c r="VT5" s="18">
        <f>'Cleaning and soft services'!H174</f>
        <v>0</v>
      </c>
      <c r="VU5" s="18">
        <f>'Cleaning and soft services'!D176</f>
        <v>0</v>
      </c>
      <c r="VV5" s="18">
        <f>'Cleaning and soft services'!H176</f>
        <v>0</v>
      </c>
      <c r="VW5" s="18">
        <f>'Cleaning and soft services'!D178</f>
        <v>0</v>
      </c>
      <c r="VX5" s="18">
        <f>'Cleaning and soft services'!H178</f>
        <v>0</v>
      </c>
      <c r="VY5" s="18">
        <f>'Cleaning and soft services'!D180</f>
        <v>0</v>
      </c>
      <c r="VZ5" s="18">
        <f>'Cleaning and soft services'!H180</f>
        <v>0</v>
      </c>
      <c r="WA5" s="18">
        <f>'Cleaning and soft services'!D182</f>
        <v>0</v>
      </c>
      <c r="WB5" s="18">
        <f>'Cleaning and soft services'!H182</f>
        <v>0</v>
      </c>
      <c r="WC5" s="18">
        <f>'Cleaning and soft services'!D184</f>
        <v>0</v>
      </c>
      <c r="WD5" s="18">
        <f>'Cleaning and soft services'!H184</f>
        <v>0</v>
      </c>
      <c r="WE5" s="18">
        <f>'Cleaning and soft services'!D26</f>
        <v>0</v>
      </c>
      <c r="WF5" s="18">
        <f>'Cleaning and soft services'!D188</f>
        <v>0</v>
      </c>
      <c r="WG5" s="18">
        <f>'Cleaning and soft services'!H188</f>
        <v>0</v>
      </c>
      <c r="WH5" s="18">
        <f>'Cleaning and soft services'!D190</f>
        <v>0</v>
      </c>
      <c r="WI5" s="18">
        <f>'Cleaning and soft services'!H190</f>
        <v>0</v>
      </c>
      <c r="WJ5" s="18">
        <f>'Cleaning and soft services'!D28</f>
        <v>0</v>
      </c>
      <c r="WK5" s="18">
        <f>'Cleaning and soft services'!D194</f>
        <v>0</v>
      </c>
      <c r="WL5" s="18">
        <f>'Cleaning and soft services'!H194</f>
        <v>0</v>
      </c>
      <c r="WM5" s="18">
        <f>'Cleaning and soft services'!D196</f>
        <v>0</v>
      </c>
      <c r="WN5" s="18">
        <f>'Cleaning and soft services'!H196</f>
        <v>0</v>
      </c>
      <c r="WO5" s="18">
        <f>'Cleaning and soft services'!D198</f>
        <v>0</v>
      </c>
      <c r="WP5" s="18">
        <f>'Cleaning and soft services'!D200</f>
        <v>0</v>
      </c>
      <c r="WQ5" s="18">
        <f>'Cleaning and soft services'!H200</f>
        <v>0</v>
      </c>
      <c r="WR5" s="18">
        <f>'Cleaning and soft services'!D202</f>
        <v>0</v>
      </c>
      <c r="WS5" s="18">
        <f>'Cleaning and soft services'!H202</f>
        <v>0</v>
      </c>
      <c r="WT5" s="18">
        <f>'Cleaning and soft services'!D204</f>
        <v>0</v>
      </c>
      <c r="WU5" s="18">
        <f>'Cleaning and soft services'!D206</f>
        <v>0</v>
      </c>
      <c r="WV5" s="18">
        <f>'Cleaning and soft services'!H206</f>
        <v>0</v>
      </c>
      <c r="WW5" s="18">
        <f>'Cleaning and soft services'!D208</f>
        <v>0</v>
      </c>
      <c r="WX5" s="18">
        <f>'Cleaning and soft services'!H208</f>
        <v>0</v>
      </c>
      <c r="WY5" s="18">
        <f>'Cleaning and soft services'!D210</f>
        <v>0</v>
      </c>
      <c r="WZ5" s="18">
        <f>'Cleaning and soft services'!D212</f>
        <v>0</v>
      </c>
      <c r="XA5" s="18">
        <f>'Cleaning and soft services'!H212</f>
        <v>0</v>
      </c>
      <c r="XB5" s="18">
        <f>'Cleaning and soft services'!D214</f>
        <v>0</v>
      </c>
      <c r="XC5" s="18">
        <f>'Cleaning and soft services'!F3</f>
        <v>0</v>
      </c>
      <c r="XD5" s="18">
        <f>Grounds!D12</f>
        <v>0</v>
      </c>
      <c r="XE5" s="18" t="str">
        <f>Grounds!H12</f>
        <v>Business unit (this contract)</v>
      </c>
      <c r="XF5" s="18">
        <f>Grounds!D22</f>
        <v>0</v>
      </c>
      <c r="XG5" s="18">
        <f>Grounds!D32</f>
        <v>0</v>
      </c>
      <c r="XH5" s="18">
        <f>Grounds!H32</f>
        <v>0</v>
      </c>
      <c r="XI5" s="18">
        <f>Grounds!D34</f>
        <v>0</v>
      </c>
      <c r="XJ5" s="18">
        <f>Grounds!H34</f>
        <v>0</v>
      </c>
      <c r="XK5" s="18">
        <f>Grounds!D36</f>
        <v>0</v>
      </c>
      <c r="XL5" s="18">
        <f>Grounds!H36</f>
        <v>0</v>
      </c>
      <c r="XM5" s="18">
        <f>Grounds!D38</f>
        <v>0</v>
      </c>
      <c r="XN5" s="18">
        <f>Grounds!H38</f>
        <v>0</v>
      </c>
      <c r="XO5" s="18">
        <f>Grounds!D40</f>
        <v>0</v>
      </c>
      <c r="XP5" s="18">
        <f>Grounds!D42</f>
        <v>0</v>
      </c>
      <c r="XQ5" s="18">
        <f>Grounds!H42</f>
        <v>0</v>
      </c>
      <c r="XR5" s="18">
        <f>Grounds!D44</f>
        <v>0</v>
      </c>
      <c r="XS5" s="18">
        <f>Grounds!H44</f>
        <v>0</v>
      </c>
      <c r="XT5" s="18">
        <f>Grounds!D46</f>
        <v>0</v>
      </c>
      <c r="XU5" s="18" t="str">
        <f>Grounds!H46</f>
        <v>Y</v>
      </c>
      <c r="XV5" s="18">
        <f>Grounds!D26</f>
        <v>0</v>
      </c>
      <c r="XW5" s="18">
        <f>Grounds!D50</f>
        <v>0</v>
      </c>
      <c r="XX5" s="18">
        <f>Grounds!H50</f>
        <v>0</v>
      </c>
      <c r="XY5" s="18">
        <f>Grounds!D52</f>
        <v>0</v>
      </c>
      <c r="XZ5" s="18">
        <f>Grounds!H52</f>
        <v>0</v>
      </c>
      <c r="YA5" s="18">
        <f>Longlist!D23</f>
        <v>0</v>
      </c>
      <c r="YB5" s="18">
        <f>Grounds!D56</f>
        <v>0</v>
      </c>
      <c r="YC5" s="18">
        <f>Grounds!D58</f>
        <v>0</v>
      </c>
      <c r="YD5" s="18">
        <f>Grounds!D60</f>
        <v>0</v>
      </c>
      <c r="YE5" s="18">
        <f>Grounds!D24</f>
        <v>0</v>
      </c>
      <c r="YF5" s="18">
        <f>Grounds!D64</f>
        <v>0</v>
      </c>
      <c r="YG5" s="18">
        <f>Grounds!H64</f>
        <v>0</v>
      </c>
      <c r="YH5" s="18">
        <f>Grounds!D66</f>
        <v>0</v>
      </c>
      <c r="YI5" s="18">
        <f>Grounds!H66</f>
        <v>0</v>
      </c>
      <c r="YJ5" s="18">
        <f>Grounds!D68</f>
        <v>0</v>
      </c>
      <c r="YK5" s="18">
        <f>Grounds!H68</f>
        <v>0</v>
      </c>
      <c r="YL5" s="18">
        <f>Grounds!D70</f>
        <v>0</v>
      </c>
      <c r="YM5" s="18">
        <f>Grounds!H70</f>
        <v>0</v>
      </c>
      <c r="YN5" s="18">
        <f>Grounds!D72</f>
        <v>0</v>
      </c>
      <c r="YO5" s="18">
        <f>Grounds!H72</f>
        <v>0</v>
      </c>
      <c r="YP5" s="18">
        <f>Grounds!D16</f>
        <v>0</v>
      </c>
      <c r="YQ5" s="18">
        <f>Grounds!D76</f>
        <v>0</v>
      </c>
      <c r="YR5" s="18">
        <f>Grounds!H76</f>
        <v>0</v>
      </c>
      <c r="YS5" s="18">
        <f>Grounds!D78</f>
        <v>0</v>
      </c>
      <c r="YT5" s="18">
        <f>Grounds!H78</f>
        <v>0</v>
      </c>
      <c r="YU5" s="18">
        <f>Grounds!D80</f>
        <v>0</v>
      </c>
      <c r="YV5" s="18">
        <f>Grounds!H80</f>
        <v>0</v>
      </c>
      <c r="YW5" s="18">
        <f>Grounds!D82</f>
        <v>0</v>
      </c>
      <c r="YX5" s="18">
        <f>Grounds!H82</f>
        <v>0</v>
      </c>
      <c r="YY5" s="18">
        <f>Grounds!D84</f>
        <v>0</v>
      </c>
      <c r="YZ5" s="18">
        <f>Grounds!D18</f>
        <v>0</v>
      </c>
      <c r="ZA5" s="18">
        <f>Grounds!D88</f>
        <v>0</v>
      </c>
      <c r="ZB5" s="18">
        <f>Grounds!D90</f>
        <v>0</v>
      </c>
      <c r="ZC5" s="18">
        <f>Grounds!H90</f>
        <v>0</v>
      </c>
      <c r="ZD5" s="18">
        <f>Grounds!D14</f>
        <v>0</v>
      </c>
      <c r="ZE5" s="18">
        <f>Grounds!D94</f>
        <v>0</v>
      </c>
      <c r="ZF5" s="18">
        <f>Grounds!D96</f>
        <v>0</v>
      </c>
      <c r="ZG5" s="18">
        <f>Grounds!D96</f>
        <v>0</v>
      </c>
      <c r="ZH5" s="18">
        <f>Grounds!H96</f>
        <v>0</v>
      </c>
      <c r="ZI5" s="18">
        <f>Grounds!D98</f>
        <v>0</v>
      </c>
      <c r="ZJ5" s="18">
        <f>Grounds!D100</f>
        <v>0</v>
      </c>
      <c r="ZK5" s="18">
        <f>Grounds!D102</f>
        <v>0</v>
      </c>
      <c r="ZL5" s="18">
        <f>Grounds!H102</f>
        <v>0</v>
      </c>
      <c r="ZM5" s="18">
        <f>Grounds!D104</f>
        <v>0</v>
      </c>
      <c r="ZN5" s="18">
        <f>Grounds!H104</f>
        <v>0</v>
      </c>
      <c r="ZO5" s="18">
        <f>Grounds!D104</f>
        <v>0</v>
      </c>
      <c r="ZP5" s="18">
        <f>Grounds!H104</f>
        <v>0</v>
      </c>
      <c r="ZQ5" s="18">
        <f>Grounds!D106</f>
        <v>0</v>
      </c>
      <c r="ZR5" s="18">
        <f>Grounds!H106</f>
        <v>0</v>
      </c>
      <c r="ZS5" s="18">
        <f>Grounds!D108</f>
        <v>0</v>
      </c>
      <c r="ZT5" s="18">
        <f>Grounds!D110</f>
        <v>0</v>
      </c>
      <c r="ZU5" s="18">
        <f>Grounds!H110</f>
        <v>0</v>
      </c>
      <c r="ZV5" s="18">
        <f>Grounds!D112</f>
        <v>0</v>
      </c>
      <c r="ZW5" s="18">
        <f>Grounds!H112</f>
        <v>0</v>
      </c>
      <c r="ZX5" s="18">
        <f>Grounds!D114</f>
        <v>0</v>
      </c>
      <c r="ZY5" s="18">
        <f>Grounds!D116</f>
        <v>0</v>
      </c>
      <c r="ZZ5" s="18">
        <f>Grounds!H116</f>
        <v>0</v>
      </c>
      <c r="AAA5" s="18">
        <f>Grounds!D118</f>
        <v>0</v>
      </c>
      <c r="AAB5" s="18">
        <f>Grounds!D120</f>
        <v>0</v>
      </c>
      <c r="AAC5" s="18">
        <f>Grounds!H120</f>
        <v>0</v>
      </c>
      <c r="AAD5" s="18">
        <f>Grounds!D122</f>
        <v>0</v>
      </c>
      <c r="AAE5" s="18">
        <f>Grounds!H122</f>
        <v>0</v>
      </c>
      <c r="AAF5" s="18">
        <f>Grounds!D124</f>
        <v>0</v>
      </c>
      <c r="AAG5" s="18">
        <f>Grounds!D126</f>
        <v>0</v>
      </c>
      <c r="AAH5" s="18">
        <f>Grounds!H126</f>
        <v>0</v>
      </c>
      <c r="AAI5" s="18">
        <f>Grounds!D28</f>
        <v>0</v>
      </c>
      <c r="AAJ5" s="18">
        <f>Grounds!H28</f>
        <v>0</v>
      </c>
      <c r="AAK5" s="18">
        <f>Grounds!F3</f>
        <v>0</v>
      </c>
      <c r="AAL5" s="18">
        <f>Security!D12</f>
        <v>0</v>
      </c>
      <c r="AAM5" s="18">
        <f>Security!D14</f>
        <v>0</v>
      </c>
      <c r="AAN5" s="18">
        <f>Security!D18</f>
        <v>0</v>
      </c>
      <c r="AAO5" s="18">
        <f>Security!H18</f>
        <v>0</v>
      </c>
      <c r="AAP5" s="18">
        <f>Security!D20</f>
        <v>0</v>
      </c>
      <c r="AAQ5" s="18">
        <f>Security!D22</f>
        <v>0</v>
      </c>
      <c r="AAR5" s="18">
        <f>Security!H22</f>
        <v>0</v>
      </c>
      <c r="AAS5" s="18">
        <f>Security!D24</f>
        <v>0</v>
      </c>
      <c r="AAT5" s="18">
        <f>Security!D26</f>
        <v>0</v>
      </c>
      <c r="AAU5" s="18">
        <f>Security!H26</f>
        <v>0</v>
      </c>
      <c r="AAV5" s="18">
        <f>Security!D28</f>
        <v>0</v>
      </c>
      <c r="AAW5" s="18">
        <f>Security!H28</f>
        <v>0</v>
      </c>
      <c r="AAX5" s="18">
        <f>Security!D30</f>
        <v>0</v>
      </c>
      <c r="AAY5" s="18">
        <f>Security!H30</f>
        <v>0</v>
      </c>
      <c r="AAZ5" s="18">
        <f>Security!D32</f>
        <v>0</v>
      </c>
      <c r="ABA5" s="18">
        <f>Security!H32</f>
        <v>0</v>
      </c>
      <c r="ABB5" s="18">
        <f>Security!D34</f>
        <v>0</v>
      </c>
      <c r="ABC5" s="18">
        <f>Security!D36</f>
        <v>0</v>
      </c>
      <c r="ABD5" s="18">
        <f>Security!H36</f>
        <v>0</v>
      </c>
      <c r="ABE5" s="18">
        <f>Security!D38</f>
        <v>0</v>
      </c>
      <c r="ABF5" s="18">
        <f>Security!D40</f>
        <v>0</v>
      </c>
      <c r="ABG5" s="18">
        <f>Security!D42</f>
        <v>0</v>
      </c>
      <c r="ABH5" s="18">
        <f>Security!H42</f>
        <v>0</v>
      </c>
      <c r="ABI5" s="18">
        <f>Security!D44</f>
        <v>0</v>
      </c>
      <c r="ABJ5" s="18">
        <f>Security!H42</f>
        <v>0</v>
      </c>
      <c r="ABK5" s="18">
        <f>Security!D46</f>
        <v>0</v>
      </c>
      <c r="ABL5" s="18">
        <f>Security!H46</f>
        <v>0</v>
      </c>
      <c r="ABM5" s="18">
        <f>Security!D48</f>
        <v>0</v>
      </c>
      <c r="ABN5" s="18">
        <f>Security!F3</f>
        <v>0</v>
      </c>
      <c r="ABO5" s="18">
        <f>Catering!D12</f>
        <v>0</v>
      </c>
      <c r="ABP5" s="18">
        <f>Catering!D16</f>
        <v>0</v>
      </c>
      <c r="ABQ5" s="18">
        <f>Catering!H16</f>
        <v>0</v>
      </c>
      <c r="ABR5" s="18">
        <f>Catering!D18</f>
        <v>0</v>
      </c>
      <c r="ABS5" s="18">
        <f>Catering!D20</f>
        <v>0</v>
      </c>
      <c r="ABT5" s="18">
        <f>Catering!D22</f>
        <v>0</v>
      </c>
      <c r="ABU5" s="18">
        <f>Catering!H22</f>
        <v>0</v>
      </c>
      <c r="ABV5" s="18">
        <f>Catering!D24</f>
        <v>0</v>
      </c>
      <c r="ABW5" s="18">
        <f>Catering!H24</f>
        <v>0</v>
      </c>
      <c r="ABX5" s="18">
        <f>Catering!D26</f>
        <v>0</v>
      </c>
      <c r="ABY5" s="18">
        <f>Catering!H26</f>
        <v>0</v>
      </c>
      <c r="ABZ5" s="18">
        <f>Catering!D28</f>
        <v>0</v>
      </c>
      <c r="ACA5" s="18">
        <f>Catering!H28</f>
        <v>0</v>
      </c>
      <c r="ACB5" s="18">
        <f>Catering!D30</f>
        <v>0</v>
      </c>
      <c r="ACC5" s="18">
        <f>Catering!H30</f>
        <v>0</v>
      </c>
      <c r="ACD5" s="18">
        <f>Catering!D32</f>
        <v>0</v>
      </c>
      <c r="ACE5" s="18">
        <f>Catering!D34</f>
        <v>0</v>
      </c>
      <c r="ACF5" s="18">
        <f>Catering!H34</f>
        <v>0</v>
      </c>
      <c r="ACG5" s="18">
        <f>Catering!D36</f>
        <v>0</v>
      </c>
      <c r="ACH5" s="18">
        <f>Catering!H36</f>
        <v>0</v>
      </c>
      <c r="ACI5" s="18">
        <f>Catering!D38</f>
        <v>0</v>
      </c>
      <c r="ACJ5" s="18">
        <f>Catering!H38</f>
        <v>0</v>
      </c>
      <c r="ACK5" s="18">
        <f>Catering!D40</f>
        <v>0</v>
      </c>
      <c r="ACL5" s="18">
        <f>Catering!D42</f>
        <v>0</v>
      </c>
      <c r="ACM5" s="18">
        <f>Catering!H42</f>
        <v>0</v>
      </c>
      <c r="ACN5" s="18">
        <f>Catering!D44</f>
        <v>0</v>
      </c>
      <c r="ACO5" s="18">
        <f>Catering!H44</f>
        <v>0</v>
      </c>
      <c r="ACP5" s="18">
        <f>Catering!D46</f>
        <v>0</v>
      </c>
      <c r="ACQ5" s="18">
        <f>Catering!D48</f>
        <v>0</v>
      </c>
      <c r="ACR5" s="18">
        <f>Catering!H48</f>
        <v>0</v>
      </c>
      <c r="ACS5" s="18">
        <f>Catering!D50</f>
        <v>0</v>
      </c>
      <c r="ACT5" s="18">
        <f>Catering!H50</f>
        <v>0</v>
      </c>
      <c r="ACU5" s="18">
        <f>Catering!D52</f>
        <v>0</v>
      </c>
      <c r="ACV5" s="18">
        <f>Catering!H52</f>
        <v>0</v>
      </c>
      <c r="ACW5" s="18">
        <f>Catering!D54</f>
        <v>0</v>
      </c>
      <c r="ACX5" s="18">
        <f>Catering!H54</f>
        <v>0</v>
      </c>
      <c r="ACY5" s="18">
        <f>Catering!D56</f>
        <v>0</v>
      </c>
      <c r="ACZ5" s="18">
        <f>Catering!H56</f>
        <v>0</v>
      </c>
      <c r="ADA5" s="18">
        <f>Catering!D58</f>
        <v>0</v>
      </c>
      <c r="ADB5" s="18">
        <f>Catering!H58</f>
        <v>0</v>
      </c>
      <c r="ADC5" s="18">
        <f>Catering!F3</f>
        <v>0</v>
      </c>
      <c r="ADD5" s="86">
        <f>Environmental!D12</f>
        <v>0</v>
      </c>
      <c r="ADE5" s="86">
        <f>Environmental!D24</f>
        <v>0</v>
      </c>
      <c r="ADF5" s="86">
        <f>Environmental!H24</f>
        <v>0</v>
      </c>
      <c r="ADG5" s="86">
        <f>Environmental!D26</f>
        <v>0</v>
      </c>
      <c r="ADH5" s="86">
        <f>Environmental!H26</f>
        <v>0</v>
      </c>
      <c r="ADI5" s="86">
        <f>Environmental!D28</f>
        <v>0</v>
      </c>
      <c r="ADJ5" s="86">
        <f>Environmental!D30</f>
        <v>0</v>
      </c>
      <c r="ADK5" s="86">
        <f>Environmental!H30</f>
        <v>0</v>
      </c>
      <c r="ADL5" s="86">
        <f>Environmental!D32</f>
        <v>0</v>
      </c>
      <c r="ADM5" s="86">
        <f>Environmental!H32</f>
        <v>0</v>
      </c>
      <c r="ADN5" s="86">
        <f>Environmental!D34</f>
        <v>0</v>
      </c>
      <c r="ADO5" s="86">
        <f>Environmental!D36</f>
        <v>0</v>
      </c>
      <c r="ADP5" s="86">
        <f>Environmental!H36</f>
        <v>0</v>
      </c>
      <c r="ADQ5" s="86">
        <f>Environmental!D36</f>
        <v>0</v>
      </c>
      <c r="ADR5" s="86">
        <f>Environmental!H36</f>
        <v>0</v>
      </c>
      <c r="ADS5" s="86">
        <f>Environmental!D40</f>
        <v>0</v>
      </c>
      <c r="ADT5" s="86">
        <f>Environmental!H40</f>
        <v>0</v>
      </c>
      <c r="ADU5" s="86">
        <f>Environmental!D42</f>
        <v>0</v>
      </c>
      <c r="ADV5" s="86">
        <f>Environmental!H42</f>
        <v>0</v>
      </c>
      <c r="ADW5" s="86">
        <f>Environmental!D44</f>
        <v>0</v>
      </c>
      <c r="ADX5" s="86">
        <f>Environmental!H44</f>
        <v>0</v>
      </c>
      <c r="ADY5" s="86">
        <f>Environmental!D46</f>
        <v>0</v>
      </c>
      <c r="ADZ5" s="86">
        <f>Environmental!H46</f>
        <v>0</v>
      </c>
      <c r="AEA5" s="86">
        <f>Environmental!D48</f>
        <v>0</v>
      </c>
      <c r="AEB5" s="86">
        <f>Environmental!H48</f>
        <v>0</v>
      </c>
      <c r="AEC5" s="86">
        <f>Environmental!D50</f>
        <v>0</v>
      </c>
      <c r="AED5" s="86">
        <f>Environmental!H50</f>
        <v>0</v>
      </c>
      <c r="AEE5" s="86">
        <f>Environmental!D52</f>
        <v>0</v>
      </c>
      <c r="AEF5" s="86">
        <f>Environmental!H52</f>
        <v>0</v>
      </c>
      <c r="AEG5" s="86">
        <f>Environmental!D54</f>
        <v>0</v>
      </c>
      <c r="AEH5" s="86">
        <f>Environmental!H54</f>
        <v>0</v>
      </c>
      <c r="AEI5" s="86">
        <f>Environmental!D56</f>
        <v>0</v>
      </c>
      <c r="AEJ5" s="86">
        <f>Environmental!H56</f>
        <v>0</v>
      </c>
      <c r="AEK5" s="86">
        <f>Environmental!D58</f>
        <v>0</v>
      </c>
      <c r="AEL5" s="86">
        <f>Environmental!H58</f>
        <v>0</v>
      </c>
      <c r="AEM5" s="86">
        <f>Environmental!D60</f>
        <v>0</v>
      </c>
      <c r="AEN5" s="86">
        <f>Environmental!H60</f>
        <v>0</v>
      </c>
      <c r="AEO5" s="86">
        <f>Environmental!D62</f>
        <v>0</v>
      </c>
      <c r="AEP5" s="86">
        <f>Environmental!H62</f>
        <v>0</v>
      </c>
      <c r="AEQ5" s="86">
        <f>Environmental!D64</f>
        <v>0</v>
      </c>
      <c r="AER5" s="86">
        <f>Environmental!H64</f>
        <v>0</v>
      </c>
      <c r="AES5" s="86">
        <f>Environmental!D66</f>
        <v>0</v>
      </c>
      <c r="AET5" s="86">
        <f>Environmental!H66</f>
        <v>0</v>
      </c>
      <c r="AEU5" s="86">
        <f>Environmental!D68</f>
        <v>0</v>
      </c>
      <c r="AEV5" s="86">
        <f>Environmental!D70</f>
        <v>0</v>
      </c>
      <c r="AEW5" s="86">
        <f>Environmental!H70</f>
        <v>0</v>
      </c>
      <c r="AEX5" s="86">
        <f>Environmental!D72</f>
        <v>0</v>
      </c>
      <c r="AEY5" s="86">
        <f>Environmental!H72</f>
        <v>0</v>
      </c>
      <c r="AEZ5" s="86">
        <f>Environmental!D74</f>
        <v>0</v>
      </c>
      <c r="AFA5" s="86">
        <f>Environmental!D76</f>
        <v>0</v>
      </c>
      <c r="AFB5" s="86">
        <f>Environmental!H76</f>
        <v>0</v>
      </c>
      <c r="AFC5" s="86">
        <f>Environmental!D78</f>
        <v>0</v>
      </c>
      <c r="AFD5" s="86">
        <f>Environmental!H78</f>
        <v>0</v>
      </c>
      <c r="AFE5" s="86">
        <f>Environmental!D80</f>
        <v>0</v>
      </c>
      <c r="AFF5" s="86">
        <f>Environmental!H80</f>
        <v>0</v>
      </c>
      <c r="AFG5" s="86">
        <f>Environmental!D82</f>
        <v>0</v>
      </c>
      <c r="AFH5" s="86">
        <f>Environmental!H82</f>
        <v>0</v>
      </c>
      <c r="AFI5" s="86">
        <f>Environmental!D84</f>
        <v>0</v>
      </c>
      <c r="AFJ5" s="86">
        <f>Environmental!H84</f>
        <v>0</v>
      </c>
      <c r="AFK5" s="86">
        <f>Environmental!D86</f>
        <v>0</v>
      </c>
      <c r="AFL5" s="86">
        <f>Environmental!H86</f>
        <v>0</v>
      </c>
      <c r="AFM5" s="86">
        <f>Environmental!D14</f>
        <v>0</v>
      </c>
      <c r="AFN5" s="86" t="str">
        <f>Environmental!D16</f>
        <v>Y</v>
      </c>
      <c r="AFO5" s="86">
        <f>Environmental!D90</f>
        <v>0</v>
      </c>
      <c r="AFP5" s="86">
        <f>Environmental!H90</f>
        <v>0</v>
      </c>
      <c r="AFQ5" s="86">
        <f>Environmental!D92</f>
        <v>0</v>
      </c>
      <c r="AFR5" s="86">
        <f>Environmental!H92</f>
        <v>0</v>
      </c>
      <c r="AFS5" s="86">
        <f>Environmental!D94</f>
        <v>0</v>
      </c>
      <c r="AFT5" s="86">
        <f>Environmental!H94</f>
        <v>0</v>
      </c>
      <c r="AFU5" s="86">
        <f>Environmental!D96</f>
        <v>0</v>
      </c>
      <c r="AFV5" s="86">
        <f>Environmental!D98</f>
        <v>0</v>
      </c>
      <c r="AFW5" s="86">
        <f>Environmental!H98</f>
        <v>0</v>
      </c>
      <c r="AFX5" s="86">
        <f>Environmental!D100</f>
        <v>0</v>
      </c>
      <c r="AFY5" s="86">
        <f>Environmental!H100</f>
        <v>0</v>
      </c>
      <c r="AFZ5" s="86">
        <f>Environmental!D102</f>
        <v>0</v>
      </c>
      <c r="AGA5" s="86">
        <f>Environmental!H102</f>
        <v>0</v>
      </c>
      <c r="AGB5" s="86">
        <f>Environmental!D104</f>
        <v>0</v>
      </c>
      <c r="AGC5" s="86">
        <f>Environmental!D18</f>
        <v>0</v>
      </c>
      <c r="AGD5" s="86">
        <f>Environmental!D108</f>
        <v>0</v>
      </c>
      <c r="AGE5" s="86">
        <f>Environmental!H108</f>
        <v>0</v>
      </c>
      <c r="AGF5" s="86">
        <f>Environmental!D110</f>
        <v>0</v>
      </c>
      <c r="AGG5" s="86">
        <f>Environmental!H110</f>
        <v>0</v>
      </c>
      <c r="AGH5" s="86">
        <f>Environmental!D112</f>
        <v>0</v>
      </c>
      <c r="AGI5" s="86">
        <f>Environmental!H112</f>
        <v>0</v>
      </c>
      <c r="AGJ5" s="86">
        <f>Environmental!D114</f>
        <v>0</v>
      </c>
      <c r="AGK5" s="86">
        <f>Environmental!H114</f>
        <v>0</v>
      </c>
      <c r="AGL5" s="86">
        <f>Environmental!D116</f>
        <v>0</v>
      </c>
      <c r="AGM5" s="86">
        <f>Environmental!H116</f>
        <v>0</v>
      </c>
      <c r="AGN5" s="86">
        <f>Environmental!D118</f>
        <v>0</v>
      </c>
      <c r="AGO5" s="86">
        <f>Environmental!H118</f>
        <v>0</v>
      </c>
      <c r="AGP5" s="86">
        <f>Environmental!D20</f>
        <v>0</v>
      </c>
      <c r="AGQ5" s="86">
        <f>Environmental!H20</f>
        <v>0</v>
      </c>
      <c r="AGR5" s="86">
        <f>Environmental!F3</f>
        <v>0</v>
      </c>
    </row>
    <row r="6" spans="2:876" x14ac:dyDescent="0.35">
      <c r="B6" s="13" t="str">
        <f>IF(B5&gt;"",1,"")</f>
        <v/>
      </c>
      <c r="C6" s="13" t="str">
        <f t="shared" ref="C6:BP6" si="0">IF(C5&gt;"",1,"")</f>
        <v/>
      </c>
      <c r="D6" s="13" t="str">
        <f t="shared" si="0"/>
        <v/>
      </c>
      <c r="E6" s="13" t="str">
        <f t="shared" si="0"/>
        <v/>
      </c>
      <c r="F6" s="13" t="str">
        <f t="shared" si="0"/>
        <v/>
      </c>
      <c r="G6" s="13" t="str">
        <f t="shared" si="0"/>
        <v/>
      </c>
      <c r="H6" s="13" t="str">
        <f t="shared" si="0"/>
        <v/>
      </c>
      <c r="I6" s="13" t="str">
        <f t="shared" si="0"/>
        <v/>
      </c>
      <c r="J6" s="13" t="str">
        <f t="shared" si="0"/>
        <v/>
      </c>
      <c r="K6" s="13" t="str">
        <f t="shared" si="0"/>
        <v/>
      </c>
      <c r="L6" s="13" t="str">
        <f t="shared" si="0"/>
        <v/>
      </c>
      <c r="M6" s="13" t="str">
        <f t="shared" si="0"/>
        <v/>
      </c>
      <c r="N6" s="13" t="str">
        <f t="shared" si="0"/>
        <v/>
      </c>
      <c r="O6" s="13" t="str">
        <f t="shared" si="0"/>
        <v/>
      </c>
      <c r="P6" s="13" t="str">
        <f t="shared" si="0"/>
        <v/>
      </c>
      <c r="Q6" s="13" t="str">
        <f t="shared" si="0"/>
        <v/>
      </c>
      <c r="R6" s="13" t="str">
        <f t="shared" si="0"/>
        <v/>
      </c>
      <c r="S6" s="13" t="str">
        <f t="shared" si="0"/>
        <v/>
      </c>
      <c r="T6" s="13" t="str">
        <f t="shared" si="0"/>
        <v/>
      </c>
      <c r="U6" s="13" t="str">
        <f t="shared" si="0"/>
        <v/>
      </c>
      <c r="V6" s="13" t="str">
        <f t="shared" si="0"/>
        <v/>
      </c>
      <c r="W6" s="13" t="str">
        <f t="shared" si="0"/>
        <v/>
      </c>
      <c r="X6" s="13" t="str">
        <f t="shared" si="0"/>
        <v/>
      </c>
      <c r="Y6" s="13" t="str">
        <f t="shared" si="0"/>
        <v/>
      </c>
      <c r="Z6" s="13" t="str">
        <f t="shared" si="0"/>
        <v/>
      </c>
      <c r="AC6" s="13" t="str">
        <f t="shared" si="0"/>
        <v/>
      </c>
      <c r="AD6" s="13" t="str">
        <f t="shared" si="0"/>
        <v/>
      </c>
      <c r="AE6" s="13" t="str">
        <f t="shared" si="0"/>
        <v/>
      </c>
      <c r="AF6" s="13" t="str">
        <f t="shared" si="0"/>
        <v/>
      </c>
      <c r="AG6" s="13" t="str">
        <f t="shared" si="0"/>
        <v/>
      </c>
      <c r="AH6" s="13" t="str">
        <f t="shared" si="0"/>
        <v/>
      </c>
      <c r="AI6" s="13" t="str">
        <f t="shared" si="0"/>
        <v/>
      </c>
      <c r="AJ6" s="13" t="str">
        <f t="shared" si="0"/>
        <v/>
      </c>
      <c r="AK6" s="13" t="str">
        <f t="shared" si="0"/>
        <v/>
      </c>
      <c r="AL6" s="13" t="str">
        <f t="shared" si="0"/>
        <v/>
      </c>
      <c r="AM6" s="13" t="str">
        <f t="shared" si="0"/>
        <v/>
      </c>
      <c r="AN6" s="13" t="str">
        <f t="shared" si="0"/>
        <v/>
      </c>
      <c r="AO6" s="13" t="str">
        <f t="shared" si="0"/>
        <v/>
      </c>
      <c r="AP6" s="13" t="str">
        <f t="shared" si="0"/>
        <v/>
      </c>
      <c r="AQ6" s="13" t="str">
        <f t="shared" si="0"/>
        <v/>
      </c>
      <c r="AR6" s="13" t="str">
        <f t="shared" si="0"/>
        <v/>
      </c>
      <c r="AS6" s="13" t="str">
        <f t="shared" si="0"/>
        <v/>
      </c>
      <c r="AT6" s="13" t="str">
        <f t="shared" si="0"/>
        <v/>
      </c>
      <c r="AU6" s="13" t="str">
        <f t="shared" si="0"/>
        <v/>
      </c>
      <c r="AV6" s="13" t="str">
        <f t="shared" si="0"/>
        <v/>
      </c>
      <c r="AW6" s="13" t="str">
        <f t="shared" si="0"/>
        <v/>
      </c>
      <c r="AX6" s="13" t="str">
        <f t="shared" si="0"/>
        <v/>
      </c>
      <c r="AY6" s="13" t="str">
        <f t="shared" si="0"/>
        <v/>
      </c>
      <c r="AZ6" s="13" t="str">
        <f t="shared" si="0"/>
        <v/>
      </c>
      <c r="BA6" s="13" t="str">
        <f t="shared" si="0"/>
        <v/>
      </c>
      <c r="BB6" s="13" t="str">
        <f t="shared" si="0"/>
        <v/>
      </c>
      <c r="BC6" s="13" t="str">
        <f t="shared" si="0"/>
        <v/>
      </c>
      <c r="BD6" s="13" t="str">
        <f t="shared" si="0"/>
        <v/>
      </c>
      <c r="BE6" s="13" t="str">
        <f t="shared" si="0"/>
        <v/>
      </c>
      <c r="BF6" s="13" t="str">
        <f t="shared" si="0"/>
        <v/>
      </c>
      <c r="BG6" s="13" t="str">
        <f t="shared" si="0"/>
        <v/>
      </c>
      <c r="BH6" s="13" t="str">
        <f t="shared" si="0"/>
        <v/>
      </c>
      <c r="BI6" s="13" t="str">
        <f t="shared" si="0"/>
        <v/>
      </c>
      <c r="BJ6" s="13" t="str">
        <f t="shared" si="0"/>
        <v/>
      </c>
      <c r="BK6" s="13" t="str">
        <f t="shared" si="0"/>
        <v/>
      </c>
      <c r="BL6" s="13" t="str">
        <f t="shared" si="0"/>
        <v/>
      </c>
      <c r="BM6" s="13" t="str">
        <f t="shared" si="0"/>
        <v/>
      </c>
      <c r="BN6" s="13" t="str">
        <f t="shared" si="0"/>
        <v/>
      </c>
      <c r="BO6" s="13" t="str">
        <f t="shared" si="0"/>
        <v/>
      </c>
      <c r="BP6" s="13" t="str">
        <f t="shared" si="0"/>
        <v/>
      </c>
      <c r="BQ6" s="13" t="str">
        <f t="shared" ref="BQ6:EA6" si="1">IF(BQ5&gt;"",1,"")</f>
        <v/>
      </c>
      <c r="BR6" s="13" t="str">
        <f t="shared" si="1"/>
        <v/>
      </c>
      <c r="BS6" s="13" t="str">
        <f t="shared" si="1"/>
        <v/>
      </c>
      <c r="BT6" s="13" t="str">
        <f t="shared" si="1"/>
        <v/>
      </c>
      <c r="BU6" s="13" t="str">
        <f t="shared" si="1"/>
        <v/>
      </c>
      <c r="BV6" s="13" t="str">
        <f t="shared" si="1"/>
        <v/>
      </c>
      <c r="BW6" s="13" t="str">
        <f t="shared" si="1"/>
        <v/>
      </c>
      <c r="BX6" s="13" t="str">
        <f t="shared" si="1"/>
        <v/>
      </c>
      <c r="BY6" s="13" t="str">
        <f t="shared" si="1"/>
        <v/>
      </c>
      <c r="BZ6" s="13" t="str">
        <f t="shared" si="1"/>
        <v/>
      </c>
      <c r="CA6" s="13" t="str">
        <f t="shared" si="1"/>
        <v/>
      </c>
      <c r="CB6" s="13" t="str">
        <f t="shared" si="1"/>
        <v/>
      </c>
      <c r="CC6" s="13" t="str">
        <f t="shared" si="1"/>
        <v/>
      </c>
      <c r="CD6" s="13" t="str">
        <f t="shared" si="1"/>
        <v/>
      </c>
      <c r="CE6" s="13" t="str">
        <f t="shared" si="1"/>
        <v/>
      </c>
      <c r="CF6" s="13" t="str">
        <f t="shared" si="1"/>
        <v/>
      </c>
      <c r="CG6" s="13" t="str">
        <f t="shared" si="1"/>
        <v/>
      </c>
      <c r="CH6" s="13" t="str">
        <f t="shared" si="1"/>
        <v/>
      </c>
      <c r="CI6" s="13" t="str">
        <f t="shared" si="1"/>
        <v/>
      </c>
      <c r="CJ6" s="13" t="str">
        <f t="shared" si="1"/>
        <v/>
      </c>
      <c r="CK6" s="13" t="str">
        <f t="shared" si="1"/>
        <v/>
      </c>
      <c r="CL6" s="13" t="str">
        <f t="shared" si="1"/>
        <v/>
      </c>
      <c r="CM6" s="13" t="str">
        <f t="shared" si="1"/>
        <v/>
      </c>
      <c r="CN6" s="13" t="str">
        <f t="shared" si="1"/>
        <v/>
      </c>
      <c r="CO6" s="13" t="str">
        <f t="shared" si="1"/>
        <v/>
      </c>
      <c r="CP6" s="13" t="str">
        <f t="shared" si="1"/>
        <v/>
      </c>
      <c r="CQ6" s="13" t="str">
        <f t="shared" si="1"/>
        <v/>
      </c>
      <c r="CR6" s="13" t="str">
        <f t="shared" si="1"/>
        <v/>
      </c>
      <c r="CS6" s="13" t="str">
        <f t="shared" si="1"/>
        <v/>
      </c>
      <c r="CT6" s="13" t="str">
        <f t="shared" si="1"/>
        <v/>
      </c>
      <c r="CU6" s="13" t="str">
        <f t="shared" si="1"/>
        <v/>
      </c>
      <c r="CV6" s="13" t="str">
        <f t="shared" si="1"/>
        <v/>
      </c>
      <c r="CW6" s="13" t="str">
        <f t="shared" si="1"/>
        <v/>
      </c>
      <c r="CX6" s="13" t="str">
        <f t="shared" si="1"/>
        <v/>
      </c>
      <c r="CY6" s="13" t="str">
        <f t="shared" si="1"/>
        <v/>
      </c>
      <c r="CZ6" s="13" t="str">
        <f t="shared" si="1"/>
        <v/>
      </c>
      <c r="DA6" s="13" t="str">
        <f t="shared" si="1"/>
        <v/>
      </c>
      <c r="DB6" s="13" t="str">
        <f t="shared" si="1"/>
        <v/>
      </c>
      <c r="DC6" s="13" t="str">
        <f t="shared" si="1"/>
        <v/>
      </c>
      <c r="DD6" s="13" t="str">
        <f t="shared" si="1"/>
        <v/>
      </c>
      <c r="DE6" s="13" t="str">
        <f t="shared" si="1"/>
        <v/>
      </c>
      <c r="DF6" s="13" t="str">
        <f t="shared" si="1"/>
        <v/>
      </c>
      <c r="DG6" s="13" t="str">
        <f t="shared" si="1"/>
        <v/>
      </c>
      <c r="DH6" s="13" t="str">
        <f t="shared" si="1"/>
        <v/>
      </c>
      <c r="DI6" s="13" t="str">
        <f t="shared" si="1"/>
        <v/>
      </c>
      <c r="DJ6" s="13" t="str">
        <f t="shared" si="1"/>
        <v/>
      </c>
      <c r="DK6" s="13" t="str">
        <f t="shared" si="1"/>
        <v/>
      </c>
      <c r="DL6" s="13" t="str">
        <f t="shared" si="1"/>
        <v/>
      </c>
      <c r="DM6" s="13" t="str">
        <f t="shared" si="1"/>
        <v/>
      </c>
      <c r="DN6" s="13" t="str">
        <f t="shared" si="1"/>
        <v/>
      </c>
      <c r="DO6" s="13" t="str">
        <f t="shared" si="1"/>
        <v/>
      </c>
      <c r="DP6" s="13" t="str">
        <f t="shared" si="1"/>
        <v/>
      </c>
      <c r="DQ6" s="13" t="str">
        <f t="shared" si="1"/>
        <v/>
      </c>
      <c r="DR6" s="13" t="str">
        <f t="shared" si="1"/>
        <v/>
      </c>
      <c r="DS6" s="13" t="str">
        <f t="shared" si="1"/>
        <v/>
      </c>
      <c r="DT6" s="13" t="str">
        <f t="shared" si="1"/>
        <v/>
      </c>
      <c r="DU6" s="13" t="str">
        <f t="shared" si="1"/>
        <v/>
      </c>
      <c r="DV6" s="13" t="str">
        <f t="shared" si="1"/>
        <v/>
      </c>
      <c r="DW6" s="13" t="str">
        <f t="shared" si="1"/>
        <v/>
      </c>
      <c r="DX6" s="13" t="str">
        <f t="shared" si="1"/>
        <v/>
      </c>
      <c r="DY6" s="13" t="str">
        <f t="shared" si="1"/>
        <v/>
      </c>
      <c r="DZ6" s="13" t="str">
        <f t="shared" si="1"/>
        <v/>
      </c>
      <c r="EA6" s="13" t="str">
        <f t="shared" si="1"/>
        <v/>
      </c>
      <c r="EB6" s="13" t="str">
        <f t="shared" ref="EB6:GM6" si="2">IF(EB5&gt;"",1,"")</f>
        <v/>
      </c>
      <c r="EC6" s="13" t="str">
        <f t="shared" si="2"/>
        <v/>
      </c>
      <c r="ED6" s="13" t="str">
        <f t="shared" si="2"/>
        <v/>
      </c>
      <c r="EE6" s="13" t="str">
        <f t="shared" si="2"/>
        <v/>
      </c>
      <c r="EF6" s="13" t="str">
        <f t="shared" si="2"/>
        <v/>
      </c>
      <c r="EG6" s="13" t="str">
        <f t="shared" si="2"/>
        <v/>
      </c>
      <c r="EH6" s="13" t="str">
        <f t="shared" si="2"/>
        <v/>
      </c>
      <c r="EI6" s="13" t="str">
        <f t="shared" si="2"/>
        <v/>
      </c>
      <c r="EJ6" s="13" t="str">
        <f t="shared" si="2"/>
        <v/>
      </c>
      <c r="EK6" s="13" t="str">
        <f t="shared" si="2"/>
        <v/>
      </c>
      <c r="EL6" s="13" t="str">
        <f t="shared" si="2"/>
        <v/>
      </c>
      <c r="EM6" s="13" t="str">
        <f t="shared" si="2"/>
        <v/>
      </c>
      <c r="EN6" s="13" t="str">
        <f t="shared" si="2"/>
        <v/>
      </c>
      <c r="EO6" s="13" t="str">
        <f t="shared" si="2"/>
        <v/>
      </c>
      <c r="EP6" s="13" t="str">
        <f t="shared" si="2"/>
        <v/>
      </c>
      <c r="EQ6" s="13" t="str">
        <f t="shared" si="2"/>
        <v/>
      </c>
      <c r="ER6" s="13" t="str">
        <f t="shared" si="2"/>
        <v/>
      </c>
      <c r="ES6" s="13" t="str">
        <f t="shared" si="2"/>
        <v/>
      </c>
      <c r="ET6" s="13" t="str">
        <f t="shared" si="2"/>
        <v/>
      </c>
      <c r="EU6" s="13" t="str">
        <f t="shared" si="2"/>
        <v/>
      </c>
      <c r="EV6" s="13" t="str">
        <f t="shared" si="2"/>
        <v/>
      </c>
      <c r="EW6" s="13" t="str">
        <f t="shared" si="2"/>
        <v/>
      </c>
      <c r="EX6" s="13" t="str">
        <f t="shared" si="2"/>
        <v/>
      </c>
      <c r="EY6" s="13" t="str">
        <f t="shared" si="2"/>
        <v/>
      </c>
      <c r="EZ6" s="13" t="str">
        <f t="shared" si="2"/>
        <v/>
      </c>
      <c r="FA6" s="13" t="str">
        <f t="shared" si="2"/>
        <v/>
      </c>
      <c r="FB6" s="13" t="str">
        <f t="shared" si="2"/>
        <v/>
      </c>
      <c r="FC6" s="13" t="str">
        <f t="shared" si="2"/>
        <v/>
      </c>
      <c r="FD6" s="13" t="str">
        <f t="shared" si="2"/>
        <v/>
      </c>
      <c r="FE6" s="13" t="str">
        <f t="shared" si="2"/>
        <v/>
      </c>
      <c r="FF6" s="13" t="str">
        <f t="shared" si="2"/>
        <v/>
      </c>
      <c r="FG6" s="13" t="str">
        <f t="shared" si="2"/>
        <v/>
      </c>
      <c r="FH6" s="13" t="str">
        <f t="shared" si="2"/>
        <v/>
      </c>
      <c r="FI6" s="13" t="str">
        <f t="shared" si="2"/>
        <v/>
      </c>
      <c r="FJ6" s="13" t="str">
        <f t="shared" si="2"/>
        <v/>
      </c>
      <c r="FK6" s="13" t="str">
        <f t="shared" si="2"/>
        <v/>
      </c>
      <c r="FL6" s="13" t="str">
        <f t="shared" si="2"/>
        <v/>
      </c>
      <c r="FM6" s="13" t="str">
        <f t="shared" si="2"/>
        <v/>
      </c>
      <c r="FN6" s="13" t="str">
        <f t="shared" si="2"/>
        <v/>
      </c>
      <c r="FO6" s="13" t="str">
        <f t="shared" si="2"/>
        <v/>
      </c>
      <c r="FP6" s="13" t="str">
        <f t="shared" si="2"/>
        <v/>
      </c>
      <c r="FQ6" s="13" t="str">
        <f t="shared" si="2"/>
        <v/>
      </c>
      <c r="FR6" s="13" t="str">
        <f t="shared" si="2"/>
        <v/>
      </c>
      <c r="FS6" s="13" t="str">
        <f t="shared" si="2"/>
        <v/>
      </c>
      <c r="FT6" s="13" t="str">
        <f t="shared" si="2"/>
        <v/>
      </c>
      <c r="FU6" s="13" t="str">
        <f t="shared" si="2"/>
        <v/>
      </c>
      <c r="FV6" s="13" t="str">
        <f t="shared" si="2"/>
        <v/>
      </c>
      <c r="FW6" s="13" t="str">
        <f t="shared" si="2"/>
        <v/>
      </c>
      <c r="FX6" s="13" t="str">
        <f t="shared" si="2"/>
        <v/>
      </c>
      <c r="FY6" s="13" t="str">
        <f t="shared" si="2"/>
        <v/>
      </c>
      <c r="FZ6" s="13" t="str">
        <f t="shared" si="2"/>
        <v/>
      </c>
      <c r="GA6" s="13" t="str">
        <f t="shared" si="2"/>
        <v/>
      </c>
      <c r="GB6" s="13" t="str">
        <f t="shared" si="2"/>
        <v/>
      </c>
      <c r="GC6" s="13" t="str">
        <f t="shared" si="2"/>
        <v/>
      </c>
      <c r="GD6" s="13" t="str">
        <f t="shared" si="2"/>
        <v/>
      </c>
      <c r="GE6" s="13" t="str">
        <f t="shared" si="2"/>
        <v/>
      </c>
      <c r="GF6" s="13" t="str">
        <f t="shared" si="2"/>
        <v/>
      </c>
      <c r="GG6" s="13" t="str">
        <f t="shared" si="2"/>
        <v/>
      </c>
      <c r="GH6" s="13" t="str">
        <f t="shared" si="2"/>
        <v/>
      </c>
      <c r="GI6" s="13" t="str">
        <f t="shared" si="2"/>
        <v/>
      </c>
      <c r="GJ6" s="13" t="str">
        <f t="shared" si="2"/>
        <v/>
      </c>
      <c r="GK6" s="13" t="str">
        <f t="shared" si="2"/>
        <v/>
      </c>
      <c r="GL6" s="13" t="str">
        <f t="shared" si="2"/>
        <v/>
      </c>
      <c r="GM6" s="13" t="str">
        <f t="shared" si="2"/>
        <v/>
      </c>
      <c r="GN6" s="13" t="str">
        <f t="shared" ref="GN6:JA6" si="3">IF(GN5&gt;"",1,"")</f>
        <v/>
      </c>
      <c r="GO6" s="13" t="str">
        <f t="shared" si="3"/>
        <v/>
      </c>
      <c r="GP6" s="13" t="str">
        <f t="shared" si="3"/>
        <v/>
      </c>
      <c r="GQ6" s="13" t="str">
        <f t="shared" si="3"/>
        <v/>
      </c>
      <c r="GR6" s="13" t="str">
        <f t="shared" si="3"/>
        <v/>
      </c>
      <c r="GS6" s="13" t="str">
        <f t="shared" si="3"/>
        <v/>
      </c>
      <c r="GT6" s="13" t="str">
        <f t="shared" si="3"/>
        <v/>
      </c>
      <c r="GU6" s="13" t="str">
        <f t="shared" si="3"/>
        <v/>
      </c>
      <c r="GV6" s="13" t="str">
        <f t="shared" si="3"/>
        <v/>
      </c>
      <c r="GW6" s="13" t="str">
        <f t="shared" si="3"/>
        <v/>
      </c>
      <c r="GX6" s="13" t="str">
        <f t="shared" si="3"/>
        <v/>
      </c>
      <c r="GY6" s="13" t="str">
        <f t="shared" si="3"/>
        <v/>
      </c>
      <c r="GZ6" s="13" t="str">
        <f t="shared" si="3"/>
        <v/>
      </c>
      <c r="HA6" s="13" t="str">
        <f t="shared" si="3"/>
        <v/>
      </c>
      <c r="HB6" s="13" t="str">
        <f t="shared" si="3"/>
        <v/>
      </c>
      <c r="HC6" s="13" t="str">
        <f t="shared" si="3"/>
        <v/>
      </c>
      <c r="HD6" s="13" t="str">
        <f t="shared" si="3"/>
        <v/>
      </c>
      <c r="HE6" s="13" t="str">
        <f t="shared" si="3"/>
        <v/>
      </c>
      <c r="HF6" s="13" t="str">
        <f t="shared" si="3"/>
        <v/>
      </c>
      <c r="HG6" s="13" t="str">
        <f t="shared" si="3"/>
        <v/>
      </c>
      <c r="HH6" s="13" t="str">
        <f t="shared" si="3"/>
        <v/>
      </c>
      <c r="HI6" s="13" t="str">
        <f t="shared" si="3"/>
        <v/>
      </c>
      <c r="HJ6" s="13" t="str">
        <f t="shared" si="3"/>
        <v/>
      </c>
      <c r="HK6" s="13" t="str">
        <f t="shared" si="3"/>
        <v/>
      </c>
      <c r="HL6" s="13" t="str">
        <f t="shared" si="3"/>
        <v/>
      </c>
      <c r="HM6" s="13" t="str">
        <f t="shared" si="3"/>
        <v/>
      </c>
      <c r="HN6" s="13" t="str">
        <f t="shared" si="3"/>
        <v/>
      </c>
      <c r="HO6" s="13" t="str">
        <f t="shared" si="3"/>
        <v/>
      </c>
      <c r="HP6" s="13" t="str">
        <f t="shared" si="3"/>
        <v/>
      </c>
      <c r="HQ6" s="13" t="str">
        <f t="shared" si="3"/>
        <v/>
      </c>
      <c r="HR6" s="13" t="str">
        <f t="shared" si="3"/>
        <v/>
      </c>
      <c r="HS6" s="13" t="str">
        <f t="shared" si="3"/>
        <v/>
      </c>
      <c r="HT6" s="13" t="str">
        <f t="shared" si="3"/>
        <v/>
      </c>
      <c r="HU6" s="13" t="str">
        <f t="shared" si="3"/>
        <v/>
      </c>
      <c r="HV6" s="13" t="str">
        <f t="shared" si="3"/>
        <v/>
      </c>
      <c r="HW6" s="13" t="str">
        <f t="shared" si="3"/>
        <v/>
      </c>
      <c r="HX6" s="13" t="str">
        <f t="shared" si="3"/>
        <v/>
      </c>
      <c r="HY6" s="13" t="str">
        <f t="shared" si="3"/>
        <v/>
      </c>
      <c r="HZ6" s="13" t="str">
        <f t="shared" si="3"/>
        <v/>
      </c>
      <c r="IA6" s="13" t="str">
        <f t="shared" si="3"/>
        <v/>
      </c>
      <c r="IB6" s="13" t="str">
        <f t="shared" si="3"/>
        <v/>
      </c>
      <c r="IC6" s="13" t="str">
        <f t="shared" si="3"/>
        <v/>
      </c>
      <c r="ID6" s="13">
        <f t="shared" si="3"/>
        <v>1</v>
      </c>
      <c r="IE6" s="13" t="str">
        <f t="shared" si="3"/>
        <v/>
      </c>
      <c r="IF6" s="13" t="str">
        <f t="shared" si="3"/>
        <v/>
      </c>
      <c r="IG6" s="13" t="str">
        <f t="shared" si="3"/>
        <v/>
      </c>
      <c r="IH6" s="13" t="str">
        <f t="shared" si="3"/>
        <v/>
      </c>
      <c r="II6" s="13" t="str">
        <f>IF(II5&gt;"",1,"")</f>
        <v/>
      </c>
      <c r="IJ6" s="13" t="str">
        <f t="shared" si="3"/>
        <v/>
      </c>
      <c r="IK6" s="13" t="str">
        <f t="shared" si="3"/>
        <v/>
      </c>
      <c r="IL6" s="13" t="str">
        <f t="shared" si="3"/>
        <v/>
      </c>
      <c r="IM6" s="13" t="str">
        <f t="shared" si="3"/>
        <v/>
      </c>
      <c r="IN6" s="13" t="str">
        <f t="shared" si="3"/>
        <v/>
      </c>
      <c r="IO6" s="13" t="str">
        <f t="shared" si="3"/>
        <v/>
      </c>
      <c r="IP6" s="13" t="str">
        <f t="shared" si="3"/>
        <v/>
      </c>
      <c r="IQ6" s="13" t="str">
        <f t="shared" si="3"/>
        <v/>
      </c>
      <c r="IR6" s="13" t="str">
        <f t="shared" si="3"/>
        <v/>
      </c>
      <c r="IS6" s="13" t="str">
        <f t="shared" si="3"/>
        <v/>
      </c>
      <c r="IT6" s="13" t="str">
        <f t="shared" si="3"/>
        <v/>
      </c>
      <c r="IU6" s="13" t="str">
        <f t="shared" si="3"/>
        <v/>
      </c>
      <c r="IV6" s="13" t="str">
        <f t="shared" si="3"/>
        <v/>
      </c>
      <c r="IW6" s="13" t="str">
        <f t="shared" si="3"/>
        <v/>
      </c>
      <c r="IX6" s="13" t="str">
        <f t="shared" si="3"/>
        <v/>
      </c>
      <c r="IY6" s="13" t="str">
        <f t="shared" si="3"/>
        <v/>
      </c>
      <c r="IZ6" s="13" t="str">
        <f t="shared" si="3"/>
        <v/>
      </c>
      <c r="JA6" s="13" t="str">
        <f t="shared" si="3"/>
        <v/>
      </c>
      <c r="JB6" s="13" t="str">
        <f t="shared" ref="JB6:JT6" si="4">IF(JB5&gt;"",1,"")</f>
        <v/>
      </c>
      <c r="JC6" s="13" t="str">
        <f t="shared" si="4"/>
        <v/>
      </c>
      <c r="JD6" s="13" t="str">
        <f t="shared" si="4"/>
        <v/>
      </c>
      <c r="JE6" s="13" t="str">
        <f t="shared" si="4"/>
        <v/>
      </c>
      <c r="JF6" s="13" t="str">
        <f t="shared" si="4"/>
        <v/>
      </c>
      <c r="JG6" s="13" t="str">
        <f t="shared" si="4"/>
        <v/>
      </c>
      <c r="JH6" s="13" t="str">
        <f t="shared" si="4"/>
        <v/>
      </c>
      <c r="JI6" s="13" t="str">
        <f t="shared" si="4"/>
        <v/>
      </c>
      <c r="JJ6" s="13" t="str">
        <f t="shared" si="4"/>
        <v/>
      </c>
      <c r="JK6" s="13" t="str">
        <f t="shared" si="4"/>
        <v/>
      </c>
      <c r="JL6" s="13" t="str">
        <f t="shared" si="4"/>
        <v/>
      </c>
      <c r="JM6" s="13" t="str">
        <f t="shared" si="4"/>
        <v/>
      </c>
      <c r="JN6" s="13" t="str">
        <f t="shared" si="4"/>
        <v/>
      </c>
      <c r="JO6" s="13" t="str">
        <f t="shared" si="4"/>
        <v/>
      </c>
      <c r="JP6" s="13" t="str">
        <f t="shared" si="4"/>
        <v/>
      </c>
      <c r="JQ6" s="13" t="str">
        <f t="shared" si="4"/>
        <v/>
      </c>
      <c r="JR6" s="13" t="str">
        <f t="shared" si="4"/>
        <v/>
      </c>
      <c r="JS6" s="13" t="str">
        <f t="shared" si="4"/>
        <v/>
      </c>
      <c r="JT6" s="13" t="str">
        <f t="shared" si="4"/>
        <v/>
      </c>
      <c r="JX6" s="13" t="str">
        <f t="shared" ref="JX6:LV6" si="5">IF(JX5&gt;"",1,"")</f>
        <v/>
      </c>
      <c r="JY6" s="13" t="str">
        <f t="shared" si="5"/>
        <v/>
      </c>
      <c r="JZ6" s="13" t="str">
        <f t="shared" si="5"/>
        <v/>
      </c>
      <c r="KA6" s="13" t="str">
        <f t="shared" si="5"/>
        <v/>
      </c>
      <c r="KB6" s="13" t="str">
        <f t="shared" si="5"/>
        <v/>
      </c>
      <c r="KC6" s="13" t="str">
        <f t="shared" si="5"/>
        <v/>
      </c>
      <c r="KD6" s="13" t="str">
        <f t="shared" si="5"/>
        <v/>
      </c>
      <c r="KE6" s="13" t="str">
        <f t="shared" si="5"/>
        <v/>
      </c>
      <c r="KF6" s="13" t="str">
        <f t="shared" si="5"/>
        <v/>
      </c>
      <c r="KG6" s="13" t="str">
        <f t="shared" si="5"/>
        <v/>
      </c>
      <c r="KH6" s="13" t="str">
        <f t="shared" si="5"/>
        <v/>
      </c>
      <c r="KI6" s="13" t="str">
        <f t="shared" si="5"/>
        <v/>
      </c>
      <c r="KJ6" s="13" t="str">
        <f t="shared" si="5"/>
        <v/>
      </c>
      <c r="KK6" s="13" t="str">
        <f t="shared" si="5"/>
        <v/>
      </c>
      <c r="KL6" s="13" t="str">
        <f t="shared" si="5"/>
        <v/>
      </c>
      <c r="KM6" s="13" t="str">
        <f t="shared" si="5"/>
        <v/>
      </c>
      <c r="KN6" s="13" t="str">
        <f t="shared" si="5"/>
        <v/>
      </c>
      <c r="KO6" s="13" t="str">
        <f t="shared" si="5"/>
        <v/>
      </c>
      <c r="KP6" s="13" t="str">
        <f t="shared" si="5"/>
        <v/>
      </c>
      <c r="KQ6" s="13" t="str">
        <f t="shared" si="5"/>
        <v/>
      </c>
      <c r="KR6" s="13" t="str">
        <f t="shared" si="5"/>
        <v/>
      </c>
      <c r="KS6" s="13" t="str">
        <f t="shared" si="5"/>
        <v/>
      </c>
      <c r="KT6" s="13" t="str">
        <f t="shared" si="5"/>
        <v/>
      </c>
      <c r="KU6" s="13" t="str">
        <f t="shared" si="5"/>
        <v/>
      </c>
      <c r="KV6" s="13" t="str">
        <f t="shared" si="5"/>
        <v/>
      </c>
      <c r="KW6" s="13" t="str">
        <f t="shared" si="5"/>
        <v/>
      </c>
      <c r="KX6" s="13" t="str">
        <f t="shared" si="5"/>
        <v/>
      </c>
      <c r="KY6" s="13" t="str">
        <f t="shared" si="5"/>
        <v/>
      </c>
      <c r="KZ6" s="13" t="str">
        <f t="shared" si="5"/>
        <v/>
      </c>
      <c r="LA6" s="13" t="str">
        <f t="shared" si="5"/>
        <v/>
      </c>
      <c r="LB6" s="13" t="str">
        <f t="shared" si="5"/>
        <v/>
      </c>
      <c r="LC6" s="13" t="str">
        <f t="shared" si="5"/>
        <v/>
      </c>
      <c r="LD6" s="13" t="str">
        <f t="shared" si="5"/>
        <v/>
      </c>
      <c r="LE6" s="13" t="str">
        <f t="shared" si="5"/>
        <v/>
      </c>
      <c r="LF6" s="13" t="str">
        <f t="shared" si="5"/>
        <v/>
      </c>
      <c r="LG6" s="13" t="str">
        <f t="shared" si="5"/>
        <v/>
      </c>
      <c r="LH6" s="13" t="str">
        <f t="shared" si="5"/>
        <v/>
      </c>
      <c r="LI6" s="13" t="str">
        <f t="shared" si="5"/>
        <v/>
      </c>
      <c r="LK6" s="13" t="str">
        <f t="shared" si="5"/>
        <v/>
      </c>
      <c r="LL6" s="13" t="str">
        <f t="shared" si="5"/>
        <v/>
      </c>
      <c r="LM6" s="13" t="str">
        <f t="shared" si="5"/>
        <v/>
      </c>
      <c r="LN6" s="13" t="str">
        <f t="shared" si="5"/>
        <v/>
      </c>
      <c r="LO6" s="13" t="str">
        <f t="shared" si="5"/>
        <v/>
      </c>
      <c r="LP6" s="13" t="str">
        <f t="shared" si="5"/>
        <v/>
      </c>
      <c r="LQ6" s="13" t="str">
        <f t="shared" si="5"/>
        <v/>
      </c>
      <c r="LR6" s="13" t="str">
        <f t="shared" si="5"/>
        <v/>
      </c>
      <c r="LS6" s="13" t="str">
        <f t="shared" si="5"/>
        <v/>
      </c>
      <c r="LT6" s="13" t="str">
        <f t="shared" si="5"/>
        <v/>
      </c>
      <c r="LU6" s="13" t="str">
        <f t="shared" si="5"/>
        <v/>
      </c>
      <c r="LV6" s="13" t="str">
        <f t="shared" si="5"/>
        <v/>
      </c>
      <c r="LW6" s="13" t="str">
        <f t="shared" ref="LW6:OM6" si="6">IF(LW5&gt;"",1,"")</f>
        <v/>
      </c>
      <c r="LX6" s="13" t="str">
        <f t="shared" si="6"/>
        <v/>
      </c>
      <c r="LY6" s="13" t="str">
        <f t="shared" si="6"/>
        <v/>
      </c>
      <c r="LZ6" s="13" t="str">
        <f t="shared" si="6"/>
        <v/>
      </c>
      <c r="MA6" s="13" t="str">
        <f t="shared" si="6"/>
        <v/>
      </c>
      <c r="MB6" s="13" t="str">
        <f t="shared" si="6"/>
        <v/>
      </c>
      <c r="MC6" s="13" t="str">
        <f t="shared" si="6"/>
        <v/>
      </c>
      <c r="MD6" s="13" t="str">
        <f t="shared" si="6"/>
        <v/>
      </c>
      <c r="ME6" s="13" t="str">
        <f t="shared" si="6"/>
        <v/>
      </c>
      <c r="MF6" s="13" t="str">
        <f t="shared" si="6"/>
        <v/>
      </c>
      <c r="MG6" s="13" t="str">
        <f t="shared" si="6"/>
        <v/>
      </c>
      <c r="MH6" s="13" t="str">
        <f t="shared" si="6"/>
        <v/>
      </c>
      <c r="MI6" s="13" t="str">
        <f t="shared" si="6"/>
        <v/>
      </c>
      <c r="MJ6" s="13" t="str">
        <f t="shared" si="6"/>
        <v/>
      </c>
      <c r="MK6" s="13" t="str">
        <f t="shared" si="6"/>
        <v/>
      </c>
      <c r="ML6" s="13" t="str">
        <f t="shared" si="6"/>
        <v/>
      </c>
      <c r="MM6" s="13" t="str">
        <f t="shared" si="6"/>
        <v/>
      </c>
      <c r="MN6" s="13" t="str">
        <f t="shared" si="6"/>
        <v/>
      </c>
      <c r="MO6" s="13" t="str">
        <f t="shared" si="6"/>
        <v/>
      </c>
      <c r="MP6" s="13" t="str">
        <f t="shared" si="6"/>
        <v/>
      </c>
      <c r="MQ6" s="13" t="str">
        <f t="shared" si="6"/>
        <v/>
      </c>
      <c r="MR6" s="13" t="str">
        <f t="shared" si="6"/>
        <v/>
      </c>
      <c r="MS6" s="13" t="str">
        <f t="shared" si="6"/>
        <v/>
      </c>
      <c r="MT6" s="13" t="str">
        <f t="shared" si="6"/>
        <v/>
      </c>
      <c r="MU6" s="13" t="str">
        <f t="shared" si="6"/>
        <v/>
      </c>
      <c r="MV6" s="13" t="str">
        <f t="shared" si="6"/>
        <v/>
      </c>
      <c r="MW6" s="13" t="str">
        <f t="shared" si="6"/>
        <v/>
      </c>
      <c r="MX6" s="13" t="str">
        <f t="shared" si="6"/>
        <v/>
      </c>
      <c r="MY6" s="13" t="str">
        <f t="shared" si="6"/>
        <v/>
      </c>
      <c r="MZ6" s="13" t="str">
        <f t="shared" si="6"/>
        <v/>
      </c>
      <c r="NA6" s="13" t="str">
        <f t="shared" si="6"/>
        <v/>
      </c>
      <c r="NB6" s="13" t="str">
        <f t="shared" si="6"/>
        <v/>
      </c>
      <c r="NC6" s="13" t="str">
        <f t="shared" si="6"/>
        <v/>
      </c>
      <c r="ND6" s="13" t="str">
        <f t="shared" si="6"/>
        <v/>
      </c>
      <c r="NE6" s="13" t="str">
        <f t="shared" si="6"/>
        <v/>
      </c>
      <c r="NF6" s="13" t="str">
        <f t="shared" si="6"/>
        <v/>
      </c>
      <c r="NG6" s="13" t="str">
        <f t="shared" si="6"/>
        <v/>
      </c>
      <c r="NM6" s="13" t="str">
        <f t="shared" si="6"/>
        <v/>
      </c>
      <c r="NN6" s="13" t="str">
        <f t="shared" si="6"/>
        <v/>
      </c>
      <c r="NO6" s="13" t="str">
        <f t="shared" si="6"/>
        <v/>
      </c>
      <c r="NP6" s="13" t="str">
        <f t="shared" si="6"/>
        <v/>
      </c>
      <c r="NQ6" s="13" t="str">
        <f t="shared" si="6"/>
        <v/>
      </c>
      <c r="NR6" s="13" t="str">
        <f t="shared" si="6"/>
        <v/>
      </c>
      <c r="NS6" s="13" t="str">
        <f t="shared" si="6"/>
        <v/>
      </c>
      <c r="NT6" s="13" t="str">
        <f t="shared" si="6"/>
        <v/>
      </c>
      <c r="NU6" s="13" t="str">
        <f t="shared" si="6"/>
        <v/>
      </c>
      <c r="NV6" s="13" t="str">
        <f t="shared" si="6"/>
        <v/>
      </c>
      <c r="NW6" s="13" t="str">
        <f t="shared" si="6"/>
        <v/>
      </c>
      <c r="NX6" s="13" t="str">
        <f t="shared" si="6"/>
        <v/>
      </c>
      <c r="NY6" s="13" t="str">
        <f t="shared" si="6"/>
        <v/>
      </c>
      <c r="NZ6" s="13" t="str">
        <f t="shared" si="6"/>
        <v/>
      </c>
      <c r="OA6" s="13" t="str">
        <f t="shared" si="6"/>
        <v/>
      </c>
      <c r="OB6" s="13" t="str">
        <f t="shared" si="6"/>
        <v/>
      </c>
      <c r="OC6" s="13" t="str">
        <f t="shared" si="6"/>
        <v/>
      </c>
      <c r="OD6" s="13" t="str">
        <f t="shared" si="6"/>
        <v/>
      </c>
      <c r="OE6" s="13" t="str">
        <f t="shared" si="6"/>
        <v/>
      </c>
      <c r="OF6" s="13" t="str">
        <f t="shared" si="6"/>
        <v/>
      </c>
      <c r="OG6" s="13" t="str">
        <f t="shared" si="6"/>
        <v/>
      </c>
      <c r="OH6" s="13" t="str">
        <f t="shared" si="6"/>
        <v/>
      </c>
      <c r="OI6" s="13" t="str">
        <f t="shared" si="6"/>
        <v/>
      </c>
      <c r="OJ6" s="13" t="str">
        <f t="shared" si="6"/>
        <v/>
      </c>
      <c r="OK6" s="13" t="str">
        <f t="shared" si="6"/>
        <v/>
      </c>
      <c r="OL6" s="13" t="str">
        <f t="shared" si="6"/>
        <v/>
      </c>
      <c r="OM6" s="13" t="str">
        <f t="shared" si="6"/>
        <v/>
      </c>
      <c r="ON6" s="13" t="str">
        <f t="shared" ref="ON6:QY6" si="7">IF(ON5&gt;"",1,"")</f>
        <v/>
      </c>
      <c r="OO6" s="13" t="str">
        <f t="shared" si="7"/>
        <v/>
      </c>
      <c r="OP6" s="13" t="str">
        <f t="shared" si="7"/>
        <v/>
      </c>
      <c r="OQ6" s="13" t="str">
        <f t="shared" si="7"/>
        <v/>
      </c>
      <c r="OR6" s="13" t="str">
        <f t="shared" si="7"/>
        <v/>
      </c>
      <c r="OS6" s="13" t="str">
        <f t="shared" si="7"/>
        <v/>
      </c>
      <c r="OT6" s="13" t="str">
        <f t="shared" si="7"/>
        <v/>
      </c>
      <c r="OU6" s="13" t="str">
        <f t="shared" si="7"/>
        <v/>
      </c>
      <c r="OV6" s="13" t="str">
        <f t="shared" si="7"/>
        <v/>
      </c>
      <c r="OW6" s="13" t="str">
        <f t="shared" si="7"/>
        <v/>
      </c>
      <c r="OX6" s="13" t="str">
        <f t="shared" si="7"/>
        <v/>
      </c>
      <c r="OY6" s="13" t="str">
        <f t="shared" si="7"/>
        <v/>
      </c>
      <c r="OZ6" s="13" t="str">
        <f t="shared" si="7"/>
        <v/>
      </c>
      <c r="PA6" s="13" t="str">
        <f t="shared" si="7"/>
        <v/>
      </c>
      <c r="PB6" s="13" t="str">
        <f t="shared" si="7"/>
        <v/>
      </c>
      <c r="PC6" s="13" t="str">
        <f t="shared" si="7"/>
        <v/>
      </c>
      <c r="PD6" s="13" t="str">
        <f t="shared" si="7"/>
        <v/>
      </c>
      <c r="PE6" s="13" t="str">
        <f t="shared" si="7"/>
        <v/>
      </c>
      <c r="PF6" s="13" t="str">
        <f t="shared" si="7"/>
        <v/>
      </c>
      <c r="PG6" s="13" t="str">
        <f t="shared" si="7"/>
        <v/>
      </c>
      <c r="PH6" s="13" t="str">
        <f t="shared" si="7"/>
        <v/>
      </c>
      <c r="PI6" s="13" t="str">
        <f t="shared" si="7"/>
        <v/>
      </c>
      <c r="PJ6" s="13" t="str">
        <f t="shared" si="7"/>
        <v/>
      </c>
      <c r="PK6" s="13" t="str">
        <f t="shared" si="7"/>
        <v/>
      </c>
      <c r="PL6" s="13" t="str">
        <f t="shared" si="7"/>
        <v/>
      </c>
      <c r="PM6" s="13" t="str">
        <f t="shared" si="7"/>
        <v/>
      </c>
      <c r="PN6" s="13" t="str">
        <f t="shared" si="7"/>
        <v/>
      </c>
      <c r="PO6" s="13" t="str">
        <f t="shared" si="7"/>
        <v/>
      </c>
      <c r="PP6" s="13" t="str">
        <f t="shared" si="7"/>
        <v/>
      </c>
      <c r="PQ6" s="13" t="str">
        <f t="shared" si="7"/>
        <v/>
      </c>
      <c r="PR6" s="13" t="str">
        <f t="shared" si="7"/>
        <v/>
      </c>
      <c r="PS6" s="13" t="str">
        <f t="shared" si="7"/>
        <v/>
      </c>
      <c r="PT6" s="13" t="str">
        <f t="shared" si="7"/>
        <v/>
      </c>
      <c r="PU6" s="13" t="str">
        <f t="shared" si="7"/>
        <v/>
      </c>
      <c r="PV6" s="13" t="str">
        <f t="shared" si="7"/>
        <v/>
      </c>
      <c r="PW6" s="13" t="str">
        <f t="shared" si="7"/>
        <v/>
      </c>
      <c r="PX6" s="13" t="str">
        <f t="shared" si="7"/>
        <v/>
      </c>
      <c r="PY6" s="13" t="str">
        <f t="shared" si="7"/>
        <v/>
      </c>
      <c r="PZ6" s="13" t="str">
        <f t="shared" si="7"/>
        <v/>
      </c>
      <c r="QA6" s="13" t="str">
        <f t="shared" si="7"/>
        <v/>
      </c>
      <c r="QB6" s="13" t="str">
        <f t="shared" si="7"/>
        <v/>
      </c>
      <c r="QC6" s="13" t="str">
        <f t="shared" si="7"/>
        <v/>
      </c>
      <c r="QD6" s="13" t="str">
        <f t="shared" si="7"/>
        <v/>
      </c>
      <c r="QE6" s="13" t="str">
        <f t="shared" si="7"/>
        <v/>
      </c>
      <c r="QF6" s="13" t="str">
        <f t="shared" si="7"/>
        <v/>
      </c>
      <c r="QG6" s="13" t="str">
        <f t="shared" si="7"/>
        <v/>
      </c>
      <c r="QH6" s="13" t="str">
        <f t="shared" si="7"/>
        <v/>
      </c>
      <c r="QI6" s="13" t="str">
        <f t="shared" si="7"/>
        <v/>
      </c>
      <c r="QJ6" s="13" t="str">
        <f t="shared" si="7"/>
        <v/>
      </c>
      <c r="QK6" s="13" t="str">
        <f t="shared" si="7"/>
        <v/>
      </c>
      <c r="QL6" s="13" t="str">
        <f t="shared" si="7"/>
        <v/>
      </c>
      <c r="QM6" s="13" t="str">
        <f t="shared" si="7"/>
        <v/>
      </c>
      <c r="QN6" s="13" t="str">
        <f t="shared" si="7"/>
        <v/>
      </c>
      <c r="QO6" s="13" t="str">
        <f t="shared" si="7"/>
        <v/>
      </c>
      <c r="QP6" s="13" t="str">
        <f t="shared" si="7"/>
        <v/>
      </c>
      <c r="QQ6" s="13" t="str">
        <f t="shared" si="7"/>
        <v/>
      </c>
      <c r="QR6" s="13" t="str">
        <f t="shared" si="7"/>
        <v/>
      </c>
      <c r="QS6" s="13" t="str">
        <f t="shared" si="7"/>
        <v/>
      </c>
      <c r="QT6" s="13" t="str">
        <f t="shared" si="7"/>
        <v/>
      </c>
      <c r="QU6" s="13" t="str">
        <f t="shared" si="7"/>
        <v/>
      </c>
      <c r="QV6" s="13" t="str">
        <f t="shared" si="7"/>
        <v/>
      </c>
      <c r="QW6" s="13" t="str">
        <f t="shared" si="7"/>
        <v/>
      </c>
      <c r="QX6" s="13" t="str">
        <f t="shared" si="7"/>
        <v/>
      </c>
      <c r="QY6" s="13" t="str">
        <f t="shared" si="7"/>
        <v/>
      </c>
      <c r="QZ6" s="13" t="str">
        <f t="shared" ref="QZ6:TK6" si="8">IF(QZ5&gt;"",1,"")</f>
        <v/>
      </c>
      <c r="RA6" s="13" t="str">
        <f t="shared" si="8"/>
        <v/>
      </c>
      <c r="RB6" s="13" t="str">
        <f t="shared" si="8"/>
        <v/>
      </c>
      <c r="RC6" s="13" t="str">
        <f t="shared" si="8"/>
        <v/>
      </c>
      <c r="RD6" s="13" t="str">
        <f t="shared" si="8"/>
        <v/>
      </c>
      <c r="RE6" s="13">
        <f t="shared" si="8"/>
        <v>1</v>
      </c>
      <c r="RF6" s="13" t="str">
        <f t="shared" si="8"/>
        <v/>
      </c>
      <c r="RG6" s="13" t="str">
        <f t="shared" si="8"/>
        <v/>
      </c>
      <c r="RH6" s="13" t="str">
        <f t="shared" si="8"/>
        <v/>
      </c>
      <c r="RI6" s="13" t="str">
        <f t="shared" si="8"/>
        <v/>
      </c>
      <c r="RJ6" s="13" t="str">
        <f t="shared" si="8"/>
        <v/>
      </c>
      <c r="RK6" s="13" t="str">
        <f t="shared" si="8"/>
        <v/>
      </c>
      <c r="RL6" s="13" t="str">
        <f t="shared" si="8"/>
        <v/>
      </c>
      <c r="RM6" s="13" t="str">
        <f t="shared" si="8"/>
        <v/>
      </c>
      <c r="RN6" s="13" t="str">
        <f t="shared" si="8"/>
        <v/>
      </c>
      <c r="RO6" s="13" t="str">
        <f t="shared" si="8"/>
        <v/>
      </c>
      <c r="RP6" s="13" t="str">
        <f t="shared" si="8"/>
        <v/>
      </c>
      <c r="RQ6" s="13" t="str">
        <f t="shared" si="8"/>
        <v/>
      </c>
      <c r="RR6" s="13" t="str">
        <f t="shared" si="8"/>
        <v/>
      </c>
      <c r="RS6" s="13" t="str">
        <f t="shared" si="8"/>
        <v/>
      </c>
      <c r="RT6" s="13" t="str">
        <f t="shared" si="8"/>
        <v/>
      </c>
      <c r="RU6" s="13" t="str">
        <f t="shared" si="8"/>
        <v/>
      </c>
      <c r="RV6" s="13" t="str">
        <f t="shared" si="8"/>
        <v/>
      </c>
      <c r="RW6" s="13" t="str">
        <f t="shared" si="8"/>
        <v/>
      </c>
      <c r="RX6" s="13" t="str">
        <f t="shared" si="8"/>
        <v/>
      </c>
      <c r="RY6" s="13" t="str">
        <f t="shared" si="8"/>
        <v/>
      </c>
      <c r="RZ6" s="13" t="str">
        <f t="shared" si="8"/>
        <v/>
      </c>
      <c r="SA6" s="13" t="str">
        <f t="shared" si="8"/>
        <v/>
      </c>
      <c r="SB6" s="13" t="str">
        <f t="shared" si="8"/>
        <v/>
      </c>
      <c r="SC6" s="13" t="str">
        <f t="shared" si="8"/>
        <v/>
      </c>
      <c r="SD6" s="13">
        <f t="shared" si="8"/>
        <v>1</v>
      </c>
      <c r="SE6" s="13">
        <f t="shared" si="8"/>
        <v>1</v>
      </c>
      <c r="SF6" s="13">
        <f t="shared" si="8"/>
        <v>1</v>
      </c>
      <c r="SG6" s="13">
        <f t="shared" si="8"/>
        <v>1</v>
      </c>
      <c r="SH6" s="13" t="str">
        <f t="shared" si="8"/>
        <v/>
      </c>
      <c r="SI6" s="13" t="str">
        <f t="shared" si="8"/>
        <v/>
      </c>
      <c r="SJ6" s="13" t="str">
        <f t="shared" si="8"/>
        <v/>
      </c>
      <c r="SK6" s="13" t="str">
        <f t="shared" si="8"/>
        <v/>
      </c>
      <c r="SL6" s="13" t="str">
        <f t="shared" si="8"/>
        <v/>
      </c>
      <c r="SM6" s="13" t="str">
        <f t="shared" si="8"/>
        <v/>
      </c>
      <c r="SN6" s="13" t="str">
        <f t="shared" si="8"/>
        <v/>
      </c>
      <c r="SO6" s="13" t="str">
        <f t="shared" si="8"/>
        <v/>
      </c>
      <c r="SP6" s="13" t="str">
        <f t="shared" si="8"/>
        <v/>
      </c>
      <c r="SQ6" s="13" t="str">
        <f t="shared" si="8"/>
        <v/>
      </c>
      <c r="SR6" s="13" t="str">
        <f t="shared" si="8"/>
        <v/>
      </c>
      <c r="SS6" s="13" t="str">
        <f t="shared" si="8"/>
        <v/>
      </c>
      <c r="ST6" s="13" t="str">
        <f t="shared" si="8"/>
        <v/>
      </c>
      <c r="SU6" s="13" t="str">
        <f t="shared" si="8"/>
        <v/>
      </c>
      <c r="SV6" s="13" t="str">
        <f t="shared" si="8"/>
        <v/>
      </c>
      <c r="SW6" s="13" t="str">
        <f t="shared" si="8"/>
        <v/>
      </c>
      <c r="SX6" s="13" t="str">
        <f t="shared" si="8"/>
        <v/>
      </c>
      <c r="SY6" s="13" t="str">
        <f t="shared" si="8"/>
        <v/>
      </c>
      <c r="SZ6" s="13" t="str">
        <f t="shared" si="8"/>
        <v/>
      </c>
      <c r="TA6" s="13" t="str">
        <f t="shared" si="8"/>
        <v/>
      </c>
      <c r="TB6" s="13" t="str">
        <f t="shared" si="8"/>
        <v/>
      </c>
      <c r="TC6" s="13" t="str">
        <f t="shared" si="8"/>
        <v/>
      </c>
      <c r="TD6" s="13" t="str">
        <f t="shared" si="8"/>
        <v/>
      </c>
      <c r="TE6" s="13" t="str">
        <f t="shared" si="8"/>
        <v/>
      </c>
      <c r="TF6" s="13" t="str">
        <f t="shared" si="8"/>
        <v/>
      </c>
      <c r="TG6" s="13" t="str">
        <f t="shared" si="8"/>
        <v/>
      </c>
      <c r="TH6" s="13" t="str">
        <f t="shared" si="8"/>
        <v/>
      </c>
      <c r="TI6" s="13" t="str">
        <f t="shared" si="8"/>
        <v/>
      </c>
      <c r="TJ6" s="13" t="str">
        <f t="shared" si="8"/>
        <v/>
      </c>
      <c r="TK6" s="13" t="str">
        <f t="shared" si="8"/>
        <v/>
      </c>
      <c r="TL6" s="13" t="str">
        <f t="shared" ref="TL6:VX6" si="9">IF(TL5&gt;"",1,"")</f>
        <v/>
      </c>
      <c r="TM6" s="13" t="str">
        <f t="shared" si="9"/>
        <v/>
      </c>
      <c r="TN6" s="13" t="str">
        <f t="shared" si="9"/>
        <v/>
      </c>
      <c r="TO6" s="13" t="str">
        <f t="shared" si="9"/>
        <v/>
      </c>
      <c r="TP6" s="13" t="str">
        <f t="shared" si="9"/>
        <v/>
      </c>
      <c r="TQ6" s="13" t="str">
        <f t="shared" si="9"/>
        <v/>
      </c>
      <c r="TR6" s="13" t="str">
        <f t="shared" si="9"/>
        <v/>
      </c>
      <c r="TS6" s="13" t="str">
        <f t="shared" si="9"/>
        <v/>
      </c>
      <c r="TU6" s="13" t="str">
        <f t="shared" si="9"/>
        <v/>
      </c>
      <c r="TV6" s="13" t="str">
        <f t="shared" si="9"/>
        <v/>
      </c>
      <c r="TW6" s="13" t="str">
        <f t="shared" si="9"/>
        <v/>
      </c>
      <c r="TX6" s="13" t="str">
        <f t="shared" si="9"/>
        <v/>
      </c>
      <c r="TY6" s="13" t="str">
        <f t="shared" si="9"/>
        <v/>
      </c>
      <c r="TZ6" s="13" t="str">
        <f t="shared" si="9"/>
        <v/>
      </c>
      <c r="UA6" s="13" t="str">
        <f t="shared" si="9"/>
        <v/>
      </c>
      <c r="UB6" s="13" t="str">
        <f t="shared" si="9"/>
        <v/>
      </c>
      <c r="UC6" s="13" t="str">
        <f t="shared" si="9"/>
        <v/>
      </c>
      <c r="UD6" s="13" t="str">
        <f t="shared" si="9"/>
        <v/>
      </c>
      <c r="UE6" s="13" t="str">
        <f t="shared" si="9"/>
        <v/>
      </c>
      <c r="UF6" s="13" t="str">
        <f t="shared" si="9"/>
        <v/>
      </c>
      <c r="UG6" s="13" t="str">
        <f t="shared" si="9"/>
        <v/>
      </c>
      <c r="UH6" s="13" t="str">
        <f t="shared" si="9"/>
        <v/>
      </c>
      <c r="UI6" s="13" t="str">
        <f t="shared" si="9"/>
        <v/>
      </c>
      <c r="UJ6" s="13" t="str">
        <f t="shared" si="9"/>
        <v/>
      </c>
      <c r="UK6" s="13" t="str">
        <f t="shared" si="9"/>
        <v/>
      </c>
      <c r="UL6" s="13" t="str">
        <f t="shared" si="9"/>
        <v/>
      </c>
      <c r="UM6" s="13" t="str">
        <f t="shared" si="9"/>
        <v/>
      </c>
      <c r="UN6" s="13" t="str">
        <f t="shared" si="9"/>
        <v/>
      </c>
      <c r="UO6" s="13" t="str">
        <f t="shared" si="9"/>
        <v/>
      </c>
      <c r="UP6" s="13" t="str">
        <f t="shared" si="9"/>
        <v/>
      </c>
      <c r="UQ6" s="13" t="str">
        <f t="shared" si="9"/>
        <v/>
      </c>
      <c r="UR6" s="13" t="str">
        <f t="shared" si="9"/>
        <v/>
      </c>
      <c r="US6" s="13" t="str">
        <f t="shared" si="9"/>
        <v/>
      </c>
      <c r="UT6" s="13" t="str">
        <f t="shared" si="9"/>
        <v/>
      </c>
      <c r="UU6" s="13" t="str">
        <f t="shared" si="9"/>
        <v/>
      </c>
      <c r="UV6" s="13" t="str">
        <f t="shared" si="9"/>
        <v/>
      </c>
      <c r="UW6" s="13" t="str">
        <f t="shared" si="9"/>
        <v/>
      </c>
      <c r="UX6" s="13" t="str">
        <f t="shared" si="9"/>
        <v/>
      </c>
      <c r="UY6" s="13" t="str">
        <f t="shared" si="9"/>
        <v/>
      </c>
      <c r="UZ6" s="13" t="str">
        <f t="shared" si="9"/>
        <v/>
      </c>
      <c r="VA6" s="13" t="str">
        <f t="shared" si="9"/>
        <v/>
      </c>
      <c r="VB6" s="13" t="str">
        <f t="shared" si="9"/>
        <v/>
      </c>
      <c r="VC6" s="13" t="str">
        <f t="shared" si="9"/>
        <v/>
      </c>
      <c r="VD6" s="13" t="str">
        <f t="shared" si="9"/>
        <v/>
      </c>
      <c r="VE6" s="13" t="str">
        <f t="shared" si="9"/>
        <v/>
      </c>
      <c r="VF6" s="13" t="str">
        <f t="shared" si="9"/>
        <v/>
      </c>
      <c r="VG6" s="13" t="str">
        <f t="shared" si="9"/>
        <v/>
      </c>
      <c r="VH6" s="13" t="str">
        <f t="shared" si="9"/>
        <v/>
      </c>
      <c r="VI6" s="13" t="str">
        <f t="shared" si="9"/>
        <v/>
      </c>
      <c r="VJ6" s="13" t="str">
        <f t="shared" si="9"/>
        <v/>
      </c>
      <c r="VK6" s="13" t="str">
        <f t="shared" si="9"/>
        <v/>
      </c>
      <c r="VL6" s="13" t="str">
        <f t="shared" si="9"/>
        <v/>
      </c>
      <c r="VM6" s="13" t="str">
        <f t="shared" si="9"/>
        <v/>
      </c>
      <c r="VN6" s="13" t="str">
        <f t="shared" si="9"/>
        <v/>
      </c>
      <c r="VO6" s="13" t="str">
        <f t="shared" si="9"/>
        <v/>
      </c>
      <c r="VP6" s="13" t="str">
        <f t="shared" si="9"/>
        <v/>
      </c>
      <c r="VQ6" s="13" t="str">
        <f t="shared" si="9"/>
        <v/>
      </c>
      <c r="VR6" s="13" t="str">
        <f t="shared" si="9"/>
        <v/>
      </c>
      <c r="VS6" s="13" t="str">
        <f t="shared" si="9"/>
        <v/>
      </c>
      <c r="VT6" s="13" t="str">
        <f t="shared" si="9"/>
        <v/>
      </c>
      <c r="VU6" s="13" t="str">
        <f t="shared" si="9"/>
        <v/>
      </c>
      <c r="VV6" s="13" t="str">
        <f t="shared" si="9"/>
        <v/>
      </c>
      <c r="VW6" s="13" t="str">
        <f t="shared" si="9"/>
        <v/>
      </c>
      <c r="VX6" s="13" t="str">
        <f t="shared" si="9"/>
        <v/>
      </c>
      <c r="VY6" s="13" t="str">
        <f t="shared" ref="VY6:YL6" si="10">IF(VY5&gt;"",1,"")</f>
        <v/>
      </c>
      <c r="VZ6" s="13" t="str">
        <f t="shared" si="10"/>
        <v/>
      </c>
      <c r="WA6" s="13" t="str">
        <f t="shared" si="10"/>
        <v/>
      </c>
      <c r="WB6" s="13" t="str">
        <f t="shared" si="10"/>
        <v/>
      </c>
      <c r="WC6" s="13" t="str">
        <f t="shared" si="10"/>
        <v/>
      </c>
      <c r="WD6" s="13" t="str">
        <f t="shared" si="10"/>
        <v/>
      </c>
      <c r="WE6" s="13" t="str">
        <f t="shared" si="10"/>
        <v/>
      </c>
      <c r="WF6" s="13" t="str">
        <f t="shared" si="10"/>
        <v/>
      </c>
      <c r="WG6" s="13" t="str">
        <f t="shared" si="10"/>
        <v/>
      </c>
      <c r="WH6" s="13" t="str">
        <f t="shared" si="10"/>
        <v/>
      </c>
      <c r="WI6" s="13" t="str">
        <f t="shared" si="10"/>
        <v/>
      </c>
      <c r="WJ6" s="13" t="str">
        <f t="shared" si="10"/>
        <v/>
      </c>
      <c r="WK6" s="13" t="str">
        <f t="shared" si="10"/>
        <v/>
      </c>
      <c r="WL6" s="13" t="str">
        <f t="shared" si="10"/>
        <v/>
      </c>
      <c r="WM6" s="13" t="str">
        <f t="shared" si="10"/>
        <v/>
      </c>
      <c r="WN6" s="13" t="str">
        <f t="shared" si="10"/>
        <v/>
      </c>
      <c r="WO6" s="13" t="str">
        <f t="shared" si="10"/>
        <v/>
      </c>
      <c r="WP6" s="13" t="str">
        <f t="shared" si="10"/>
        <v/>
      </c>
      <c r="WQ6" s="13" t="str">
        <f t="shared" si="10"/>
        <v/>
      </c>
      <c r="WR6" s="13" t="str">
        <f t="shared" si="10"/>
        <v/>
      </c>
      <c r="WS6" s="13" t="str">
        <f t="shared" si="10"/>
        <v/>
      </c>
      <c r="WT6" s="13" t="str">
        <f t="shared" si="10"/>
        <v/>
      </c>
      <c r="WU6" s="13" t="str">
        <f t="shared" si="10"/>
        <v/>
      </c>
      <c r="WV6" s="13" t="str">
        <f t="shared" si="10"/>
        <v/>
      </c>
      <c r="WW6" s="13" t="str">
        <f t="shared" si="10"/>
        <v/>
      </c>
      <c r="WX6" s="13" t="str">
        <f t="shared" si="10"/>
        <v/>
      </c>
      <c r="WY6" s="13" t="str">
        <f t="shared" si="10"/>
        <v/>
      </c>
      <c r="WZ6" s="13" t="str">
        <f t="shared" si="10"/>
        <v/>
      </c>
      <c r="XA6" s="13" t="str">
        <f t="shared" si="10"/>
        <v/>
      </c>
      <c r="XB6" s="13" t="str">
        <f t="shared" si="10"/>
        <v/>
      </c>
      <c r="XC6" s="13" t="str">
        <f t="shared" si="10"/>
        <v/>
      </c>
      <c r="XD6" s="13" t="str">
        <f t="shared" si="10"/>
        <v/>
      </c>
      <c r="XE6" s="13">
        <f t="shared" si="10"/>
        <v>1</v>
      </c>
      <c r="XF6" s="13" t="str">
        <f t="shared" si="10"/>
        <v/>
      </c>
      <c r="XG6" s="13" t="str">
        <f t="shared" si="10"/>
        <v/>
      </c>
      <c r="XI6" s="13" t="str">
        <f t="shared" si="10"/>
        <v/>
      </c>
      <c r="XK6" s="13" t="str">
        <f t="shared" si="10"/>
        <v/>
      </c>
      <c r="XL6" s="13" t="str">
        <f t="shared" si="10"/>
        <v/>
      </c>
      <c r="XM6" s="13" t="str">
        <f t="shared" si="10"/>
        <v/>
      </c>
      <c r="XN6" s="13" t="str">
        <f t="shared" si="10"/>
        <v/>
      </c>
      <c r="XO6" s="13" t="str">
        <f t="shared" si="10"/>
        <v/>
      </c>
      <c r="XP6" s="13" t="str">
        <f t="shared" si="10"/>
        <v/>
      </c>
      <c r="XQ6" s="13" t="str">
        <f t="shared" si="10"/>
        <v/>
      </c>
      <c r="XR6" s="13" t="str">
        <f t="shared" si="10"/>
        <v/>
      </c>
      <c r="XS6" s="13" t="str">
        <f t="shared" si="10"/>
        <v/>
      </c>
      <c r="XT6" s="13" t="str">
        <f t="shared" si="10"/>
        <v/>
      </c>
      <c r="XU6" s="13">
        <f t="shared" si="10"/>
        <v>1</v>
      </c>
      <c r="XV6" s="13" t="str">
        <f t="shared" si="10"/>
        <v/>
      </c>
      <c r="XW6" s="13" t="str">
        <f t="shared" si="10"/>
        <v/>
      </c>
      <c r="XX6" s="13" t="str">
        <f t="shared" si="10"/>
        <v/>
      </c>
      <c r="XY6" s="13" t="str">
        <f t="shared" si="10"/>
        <v/>
      </c>
      <c r="XZ6" s="13" t="str">
        <f t="shared" si="10"/>
        <v/>
      </c>
      <c r="YA6" s="13" t="str">
        <f t="shared" si="10"/>
        <v/>
      </c>
      <c r="YB6" s="13" t="str">
        <f t="shared" si="10"/>
        <v/>
      </c>
      <c r="YC6" s="13" t="str">
        <f t="shared" si="10"/>
        <v/>
      </c>
      <c r="YD6" s="13" t="str">
        <f t="shared" si="10"/>
        <v/>
      </c>
      <c r="YE6" s="13" t="str">
        <f t="shared" si="10"/>
        <v/>
      </c>
      <c r="YF6" s="13" t="str">
        <f t="shared" si="10"/>
        <v/>
      </c>
      <c r="YG6" s="13" t="str">
        <f t="shared" si="10"/>
        <v/>
      </c>
      <c r="YH6" s="13" t="str">
        <f t="shared" si="10"/>
        <v/>
      </c>
      <c r="YI6" s="13" t="str">
        <f t="shared" si="10"/>
        <v/>
      </c>
      <c r="YJ6" s="13" t="str">
        <f t="shared" si="10"/>
        <v/>
      </c>
      <c r="YK6" s="13" t="str">
        <f t="shared" si="10"/>
        <v/>
      </c>
      <c r="YL6" s="13" t="str">
        <f t="shared" si="10"/>
        <v/>
      </c>
      <c r="YM6" s="13" t="str">
        <f t="shared" ref="YM6:AAV6" si="11">IF(YM5&gt;"",1,"")</f>
        <v/>
      </c>
      <c r="YN6" s="13" t="str">
        <f t="shared" si="11"/>
        <v/>
      </c>
      <c r="YO6" s="13" t="str">
        <f t="shared" si="11"/>
        <v/>
      </c>
      <c r="YP6" s="13" t="str">
        <f t="shared" si="11"/>
        <v/>
      </c>
      <c r="YQ6" s="13" t="str">
        <f t="shared" si="11"/>
        <v/>
      </c>
      <c r="YR6" s="13" t="str">
        <f t="shared" si="11"/>
        <v/>
      </c>
      <c r="YS6" s="13" t="str">
        <f t="shared" si="11"/>
        <v/>
      </c>
      <c r="YT6" s="13" t="str">
        <f t="shared" si="11"/>
        <v/>
      </c>
      <c r="YU6" s="13" t="str">
        <f t="shared" si="11"/>
        <v/>
      </c>
      <c r="YV6" s="13" t="str">
        <f t="shared" si="11"/>
        <v/>
      </c>
      <c r="YW6" s="13" t="str">
        <f t="shared" si="11"/>
        <v/>
      </c>
      <c r="YX6" s="13" t="str">
        <f t="shared" si="11"/>
        <v/>
      </c>
      <c r="YY6" s="13" t="str">
        <f t="shared" si="11"/>
        <v/>
      </c>
      <c r="YZ6" s="13" t="str">
        <f t="shared" si="11"/>
        <v/>
      </c>
      <c r="ZA6" s="13" t="str">
        <f t="shared" si="11"/>
        <v/>
      </c>
      <c r="ZB6" s="13" t="str">
        <f t="shared" si="11"/>
        <v/>
      </c>
      <c r="ZC6" s="13" t="str">
        <f t="shared" si="11"/>
        <v/>
      </c>
      <c r="ZD6" s="13" t="str">
        <f t="shared" si="11"/>
        <v/>
      </c>
      <c r="ZE6" s="13" t="str">
        <f t="shared" si="11"/>
        <v/>
      </c>
      <c r="ZF6" s="13" t="str">
        <f t="shared" si="11"/>
        <v/>
      </c>
      <c r="ZG6" s="13" t="str">
        <f t="shared" si="11"/>
        <v/>
      </c>
      <c r="ZH6" s="13" t="str">
        <f t="shared" si="11"/>
        <v/>
      </c>
      <c r="ZI6" s="13" t="str">
        <f t="shared" si="11"/>
        <v/>
      </c>
      <c r="ZJ6" s="13" t="str">
        <f t="shared" si="11"/>
        <v/>
      </c>
      <c r="ZK6" s="13" t="str">
        <f t="shared" si="11"/>
        <v/>
      </c>
      <c r="ZL6" s="13" t="str">
        <f t="shared" si="11"/>
        <v/>
      </c>
      <c r="ZM6" s="13" t="str">
        <f t="shared" si="11"/>
        <v/>
      </c>
      <c r="ZN6" s="13" t="str">
        <f t="shared" si="11"/>
        <v/>
      </c>
      <c r="ZO6" s="13" t="str">
        <f t="shared" si="11"/>
        <v/>
      </c>
      <c r="ZP6" s="13" t="str">
        <f t="shared" si="11"/>
        <v/>
      </c>
      <c r="ZQ6" s="13" t="str">
        <f t="shared" si="11"/>
        <v/>
      </c>
      <c r="ZR6" s="13" t="str">
        <f t="shared" si="11"/>
        <v/>
      </c>
      <c r="ZS6" s="13" t="str">
        <f t="shared" si="11"/>
        <v/>
      </c>
      <c r="ZT6" s="13" t="str">
        <f t="shared" si="11"/>
        <v/>
      </c>
      <c r="ZU6" s="13" t="str">
        <f t="shared" si="11"/>
        <v/>
      </c>
      <c r="ZV6" s="13" t="str">
        <f t="shared" si="11"/>
        <v/>
      </c>
      <c r="ZW6" s="13" t="str">
        <f t="shared" si="11"/>
        <v/>
      </c>
      <c r="ZX6" s="13" t="str">
        <f t="shared" si="11"/>
        <v/>
      </c>
      <c r="ZY6" s="13" t="str">
        <f t="shared" si="11"/>
        <v/>
      </c>
      <c r="ZZ6" s="13" t="str">
        <f t="shared" si="11"/>
        <v/>
      </c>
      <c r="AAA6" s="13" t="str">
        <f t="shared" si="11"/>
        <v/>
      </c>
      <c r="AAB6" s="13" t="str">
        <f t="shared" si="11"/>
        <v/>
      </c>
      <c r="AAC6" s="13" t="str">
        <f t="shared" si="11"/>
        <v/>
      </c>
      <c r="AAD6" s="13" t="str">
        <f t="shared" si="11"/>
        <v/>
      </c>
      <c r="AAE6" s="13" t="str">
        <f t="shared" si="11"/>
        <v/>
      </c>
      <c r="AAF6" s="13" t="str">
        <f t="shared" si="11"/>
        <v/>
      </c>
      <c r="AAG6" s="13" t="str">
        <f t="shared" si="11"/>
        <v/>
      </c>
      <c r="AAH6" s="13" t="str">
        <f t="shared" si="11"/>
        <v/>
      </c>
      <c r="AAI6" s="13" t="str">
        <f t="shared" si="11"/>
        <v/>
      </c>
      <c r="AAJ6" s="13" t="str">
        <f t="shared" si="11"/>
        <v/>
      </c>
      <c r="AAK6" s="13" t="str">
        <f t="shared" si="11"/>
        <v/>
      </c>
      <c r="AAL6" s="13" t="str">
        <f t="shared" si="11"/>
        <v/>
      </c>
      <c r="AAM6" s="13" t="str">
        <f t="shared" si="11"/>
        <v/>
      </c>
      <c r="AAN6" s="13" t="str">
        <f t="shared" si="11"/>
        <v/>
      </c>
      <c r="AAO6" s="13" t="str">
        <f t="shared" si="11"/>
        <v/>
      </c>
      <c r="AAP6" s="13" t="str">
        <f t="shared" si="11"/>
        <v/>
      </c>
      <c r="AAQ6" s="13" t="str">
        <f t="shared" si="11"/>
        <v/>
      </c>
      <c r="AAR6" s="13" t="str">
        <f t="shared" si="11"/>
        <v/>
      </c>
      <c r="AAS6" s="13" t="str">
        <f t="shared" si="11"/>
        <v/>
      </c>
      <c r="AAT6" s="13" t="str">
        <f t="shared" si="11"/>
        <v/>
      </c>
      <c r="AAU6" s="13" t="str">
        <f t="shared" si="11"/>
        <v/>
      </c>
      <c r="AAV6" s="13" t="str">
        <f t="shared" si="11"/>
        <v/>
      </c>
      <c r="AAW6" s="13" t="str">
        <f t="shared" ref="AAW6:ADH6" si="12">IF(AAW5&gt;"",1,"")</f>
        <v/>
      </c>
      <c r="AAX6" s="13" t="str">
        <f t="shared" si="12"/>
        <v/>
      </c>
      <c r="AAY6" s="13" t="str">
        <f t="shared" si="12"/>
        <v/>
      </c>
      <c r="AAZ6" s="13" t="str">
        <f t="shared" si="12"/>
        <v/>
      </c>
      <c r="ABA6" s="13" t="str">
        <f t="shared" si="12"/>
        <v/>
      </c>
      <c r="ABB6" s="13" t="str">
        <f t="shared" si="12"/>
        <v/>
      </c>
      <c r="ABC6" s="13" t="str">
        <f t="shared" si="12"/>
        <v/>
      </c>
      <c r="ABD6" s="13" t="str">
        <f t="shared" si="12"/>
        <v/>
      </c>
      <c r="ABF6" s="13" t="str">
        <f t="shared" si="12"/>
        <v/>
      </c>
      <c r="ABG6" s="13" t="str">
        <f t="shared" si="12"/>
        <v/>
      </c>
      <c r="ABH6" s="13" t="str">
        <f t="shared" si="12"/>
        <v/>
      </c>
      <c r="ABI6" s="13" t="str">
        <f t="shared" si="12"/>
        <v/>
      </c>
      <c r="ABJ6" s="13" t="str">
        <f t="shared" si="12"/>
        <v/>
      </c>
      <c r="ABK6" s="13" t="str">
        <f t="shared" si="12"/>
        <v/>
      </c>
      <c r="ABL6" s="13" t="str">
        <f t="shared" si="12"/>
        <v/>
      </c>
      <c r="ABM6" s="13" t="str">
        <f t="shared" si="12"/>
        <v/>
      </c>
      <c r="ABN6" s="13" t="str">
        <f t="shared" si="12"/>
        <v/>
      </c>
      <c r="ABO6" s="13" t="str">
        <f t="shared" si="12"/>
        <v/>
      </c>
      <c r="ABP6" s="13" t="str">
        <f t="shared" si="12"/>
        <v/>
      </c>
      <c r="ABQ6" s="13" t="str">
        <f t="shared" si="12"/>
        <v/>
      </c>
      <c r="ABR6" s="13" t="str">
        <f t="shared" si="12"/>
        <v/>
      </c>
      <c r="ABS6" s="13" t="str">
        <f t="shared" si="12"/>
        <v/>
      </c>
      <c r="ABT6" s="13" t="str">
        <f t="shared" si="12"/>
        <v/>
      </c>
      <c r="ABU6" s="13" t="str">
        <f t="shared" si="12"/>
        <v/>
      </c>
      <c r="ABV6" s="13" t="str">
        <f t="shared" si="12"/>
        <v/>
      </c>
      <c r="ABW6" s="13" t="str">
        <f t="shared" si="12"/>
        <v/>
      </c>
      <c r="ABX6" s="13" t="str">
        <f t="shared" si="12"/>
        <v/>
      </c>
      <c r="ABY6" s="13" t="str">
        <f t="shared" si="12"/>
        <v/>
      </c>
      <c r="ABZ6" s="13" t="str">
        <f t="shared" si="12"/>
        <v/>
      </c>
      <c r="ACA6" s="13" t="str">
        <f t="shared" si="12"/>
        <v/>
      </c>
      <c r="ACB6" s="13" t="str">
        <f t="shared" si="12"/>
        <v/>
      </c>
      <c r="ACC6" s="13" t="str">
        <f t="shared" si="12"/>
        <v/>
      </c>
      <c r="ACD6" s="13" t="str">
        <f t="shared" si="12"/>
        <v/>
      </c>
      <c r="ACE6" s="13" t="str">
        <f t="shared" si="12"/>
        <v/>
      </c>
      <c r="ACF6" s="13" t="str">
        <f t="shared" si="12"/>
        <v/>
      </c>
      <c r="ACG6" s="13" t="str">
        <f t="shared" si="12"/>
        <v/>
      </c>
      <c r="ACH6" s="13" t="str">
        <f t="shared" si="12"/>
        <v/>
      </c>
      <c r="ACI6" s="13" t="str">
        <f t="shared" si="12"/>
        <v/>
      </c>
      <c r="ACJ6" s="13" t="str">
        <f t="shared" si="12"/>
        <v/>
      </c>
      <c r="ACK6" s="13" t="str">
        <f t="shared" si="12"/>
        <v/>
      </c>
      <c r="ACL6" s="13" t="str">
        <f t="shared" si="12"/>
        <v/>
      </c>
      <c r="ACM6" s="13" t="str">
        <f t="shared" si="12"/>
        <v/>
      </c>
      <c r="ACN6" s="13" t="str">
        <f t="shared" si="12"/>
        <v/>
      </c>
      <c r="ACO6" s="13" t="str">
        <f t="shared" si="12"/>
        <v/>
      </c>
      <c r="ACP6" s="13" t="str">
        <f t="shared" si="12"/>
        <v/>
      </c>
      <c r="ACQ6" s="13" t="str">
        <f t="shared" si="12"/>
        <v/>
      </c>
      <c r="ACR6" s="13" t="str">
        <f t="shared" si="12"/>
        <v/>
      </c>
      <c r="ACS6" s="13" t="str">
        <f t="shared" si="12"/>
        <v/>
      </c>
      <c r="ACT6" s="13" t="str">
        <f t="shared" si="12"/>
        <v/>
      </c>
      <c r="ACU6" s="13" t="str">
        <f t="shared" si="12"/>
        <v/>
      </c>
      <c r="ACV6" s="13" t="str">
        <f t="shared" si="12"/>
        <v/>
      </c>
      <c r="ACW6" s="13" t="str">
        <f t="shared" si="12"/>
        <v/>
      </c>
      <c r="ACX6" s="13" t="str">
        <f t="shared" si="12"/>
        <v/>
      </c>
      <c r="ACY6" s="13" t="str">
        <f t="shared" si="12"/>
        <v/>
      </c>
      <c r="ACZ6" s="13" t="str">
        <f t="shared" si="12"/>
        <v/>
      </c>
      <c r="ADA6" s="13" t="str">
        <f t="shared" si="12"/>
        <v/>
      </c>
      <c r="ADB6" s="13" t="str">
        <f t="shared" si="12"/>
        <v/>
      </c>
      <c r="ADC6" s="13" t="str">
        <f t="shared" si="12"/>
        <v/>
      </c>
      <c r="ADD6" s="13" t="str">
        <f t="shared" si="12"/>
        <v/>
      </c>
      <c r="ADE6" s="13" t="str">
        <f t="shared" si="12"/>
        <v/>
      </c>
      <c r="ADF6" s="13" t="str">
        <f t="shared" si="12"/>
        <v/>
      </c>
      <c r="ADG6" s="13" t="str">
        <f t="shared" si="12"/>
        <v/>
      </c>
      <c r="ADH6" s="13" t="str">
        <f t="shared" si="12"/>
        <v/>
      </c>
      <c r="ADI6" s="13" t="str">
        <f t="shared" ref="ADI6:AGN6" si="13">IF(ADI5&gt;"",1,"")</f>
        <v/>
      </c>
      <c r="ADJ6" s="13" t="str">
        <f t="shared" si="13"/>
        <v/>
      </c>
      <c r="ADK6" s="13" t="str">
        <f t="shared" si="13"/>
        <v/>
      </c>
      <c r="ADL6" s="13" t="str">
        <f t="shared" si="13"/>
        <v/>
      </c>
      <c r="ADM6" s="13" t="str">
        <f t="shared" si="13"/>
        <v/>
      </c>
      <c r="ADN6" s="13" t="str">
        <f t="shared" si="13"/>
        <v/>
      </c>
      <c r="ADO6" s="13" t="str">
        <f t="shared" si="13"/>
        <v/>
      </c>
      <c r="ADP6" s="13" t="str">
        <f t="shared" si="13"/>
        <v/>
      </c>
      <c r="ADS6" s="13" t="str">
        <f t="shared" si="13"/>
        <v/>
      </c>
      <c r="ADT6" s="13" t="str">
        <f t="shared" si="13"/>
        <v/>
      </c>
      <c r="ADW6" s="13" t="str">
        <f t="shared" si="13"/>
        <v/>
      </c>
      <c r="ADX6" s="13" t="str">
        <f t="shared" si="13"/>
        <v/>
      </c>
      <c r="AEA6" s="13" t="str">
        <f t="shared" si="13"/>
        <v/>
      </c>
      <c r="AEB6" s="13" t="str">
        <f t="shared" si="13"/>
        <v/>
      </c>
      <c r="AEE6" s="13" t="str">
        <f t="shared" si="13"/>
        <v/>
      </c>
      <c r="AEF6" s="13" t="str">
        <f t="shared" si="13"/>
        <v/>
      </c>
      <c r="AEM6" s="13" t="str">
        <f t="shared" si="13"/>
        <v/>
      </c>
      <c r="AEN6" s="13" t="str">
        <f t="shared" si="13"/>
        <v/>
      </c>
      <c r="AEQ6" s="13" t="str">
        <f t="shared" si="13"/>
        <v/>
      </c>
      <c r="AER6" s="13" t="str">
        <f t="shared" si="13"/>
        <v/>
      </c>
      <c r="AEU6" s="13" t="str">
        <f t="shared" si="13"/>
        <v/>
      </c>
      <c r="AEX6" s="13" t="str">
        <f t="shared" si="13"/>
        <v/>
      </c>
      <c r="AEY6" s="13" t="str">
        <f t="shared" si="13"/>
        <v/>
      </c>
      <c r="AEZ6" s="13" t="str">
        <f t="shared" si="13"/>
        <v/>
      </c>
      <c r="AFA6" s="13" t="str">
        <f t="shared" si="13"/>
        <v/>
      </c>
      <c r="AFB6" s="13" t="str">
        <f t="shared" si="13"/>
        <v/>
      </c>
      <c r="AFC6" s="13" t="str">
        <f t="shared" si="13"/>
        <v/>
      </c>
      <c r="AFD6" s="13" t="str">
        <f t="shared" si="13"/>
        <v/>
      </c>
      <c r="AFE6" s="13" t="str">
        <f t="shared" si="13"/>
        <v/>
      </c>
      <c r="AFF6" s="13" t="str">
        <f t="shared" si="13"/>
        <v/>
      </c>
      <c r="AFG6" s="13" t="str">
        <f t="shared" si="13"/>
        <v/>
      </c>
      <c r="AFH6" s="13" t="str">
        <f t="shared" si="13"/>
        <v/>
      </c>
      <c r="AFI6" s="13" t="str">
        <f t="shared" si="13"/>
        <v/>
      </c>
      <c r="AFJ6" s="13" t="str">
        <f t="shared" si="13"/>
        <v/>
      </c>
      <c r="AFK6" s="13" t="str">
        <f t="shared" si="13"/>
        <v/>
      </c>
      <c r="AFL6" s="13" t="str">
        <f t="shared" si="13"/>
        <v/>
      </c>
      <c r="AFM6" s="13" t="str">
        <f t="shared" si="13"/>
        <v/>
      </c>
      <c r="AFN6" s="13">
        <f t="shared" si="13"/>
        <v>1</v>
      </c>
      <c r="AFO6" s="13" t="str">
        <f t="shared" si="13"/>
        <v/>
      </c>
      <c r="AFP6" s="13" t="str">
        <f t="shared" si="13"/>
        <v/>
      </c>
      <c r="AFQ6" s="13" t="str">
        <f t="shared" si="13"/>
        <v/>
      </c>
      <c r="AFR6" s="13" t="str">
        <f t="shared" si="13"/>
        <v/>
      </c>
      <c r="AFS6" s="13" t="str">
        <f t="shared" si="13"/>
        <v/>
      </c>
      <c r="AFT6" s="13" t="str">
        <f t="shared" si="13"/>
        <v/>
      </c>
      <c r="AFU6" s="13" t="str">
        <f t="shared" si="13"/>
        <v/>
      </c>
      <c r="AFV6" s="13" t="str">
        <f t="shared" si="13"/>
        <v/>
      </c>
      <c r="AFW6" s="13" t="str">
        <f t="shared" si="13"/>
        <v/>
      </c>
      <c r="AFX6" s="13" t="str">
        <f t="shared" si="13"/>
        <v/>
      </c>
      <c r="AFY6" s="13" t="str">
        <f t="shared" si="13"/>
        <v/>
      </c>
      <c r="AFZ6" s="13" t="str">
        <f t="shared" si="13"/>
        <v/>
      </c>
      <c r="AGA6" s="13" t="str">
        <f t="shared" si="13"/>
        <v/>
      </c>
      <c r="AGB6" s="13" t="str">
        <f t="shared" si="13"/>
        <v/>
      </c>
      <c r="AGC6" s="13" t="str">
        <f t="shared" si="13"/>
        <v/>
      </c>
      <c r="AGD6" s="13" t="str">
        <f t="shared" si="13"/>
        <v/>
      </c>
      <c r="AGE6" s="13" t="str">
        <f t="shared" si="13"/>
        <v/>
      </c>
      <c r="AGF6" s="13" t="str">
        <f t="shared" si="13"/>
        <v/>
      </c>
      <c r="AGG6" s="13" t="str">
        <f t="shared" si="13"/>
        <v/>
      </c>
      <c r="AGH6" s="13" t="str">
        <f t="shared" si="13"/>
        <v/>
      </c>
      <c r="AGI6" s="13" t="str">
        <f t="shared" si="13"/>
        <v/>
      </c>
      <c r="AGJ6" s="13" t="str">
        <f t="shared" si="13"/>
        <v/>
      </c>
      <c r="AGK6" s="13" t="str">
        <f t="shared" si="13"/>
        <v/>
      </c>
      <c r="AGL6" s="13" t="str">
        <f t="shared" si="13"/>
        <v/>
      </c>
      <c r="AGM6" s="13" t="str">
        <f t="shared" si="13"/>
        <v/>
      </c>
      <c r="AGN6" s="13" t="str">
        <f t="shared" si="13"/>
        <v/>
      </c>
      <c r="AGO6" s="13" t="str">
        <f t="shared" ref="AGO6:AGQ6" si="14">IF(AGO5&gt;"",1,"")</f>
        <v/>
      </c>
      <c r="AGP6" s="13" t="str">
        <f t="shared" si="14"/>
        <v/>
      </c>
      <c r="AGQ6" s="13" t="str">
        <f t="shared" si="14"/>
        <v/>
      </c>
      <c r="AGR6" s="13" t="str">
        <f>IF(AGR5&gt;"",1,"")</f>
        <v/>
      </c>
    </row>
    <row r="9" spans="2:876" x14ac:dyDescent="0.35">
      <c r="B9" s="106"/>
    </row>
    <row r="10" spans="2:876" ht="29" x14ac:dyDescent="0.35">
      <c r="B10" s="130" t="s">
        <v>536</v>
      </c>
      <c r="C10" s="130" t="s">
        <v>537</v>
      </c>
      <c r="D10" s="130" t="s">
        <v>538</v>
      </c>
    </row>
    <row r="11" spans="2:876" ht="29" x14ac:dyDescent="0.35">
      <c r="B11" s="18" t="s">
        <v>539</v>
      </c>
      <c r="C11" s="86">
        <f>SUM(B6:CM6)</f>
        <v>0</v>
      </c>
      <c r="D11" s="129">
        <f>C11/CM2</f>
        <v>0</v>
      </c>
    </row>
    <row r="12" spans="2:876" x14ac:dyDescent="0.35">
      <c r="B12" s="18" t="s">
        <v>540</v>
      </c>
      <c r="C12" s="86">
        <f>SUM(CN6:ID6)</f>
        <v>1</v>
      </c>
      <c r="D12" s="129">
        <f>C12/(ID2-CM2)</f>
        <v>6.8027210884353739E-3</v>
      </c>
    </row>
    <row r="13" spans="2:876" x14ac:dyDescent="0.35">
      <c r="B13" s="18" t="s">
        <v>87</v>
      </c>
      <c r="C13" s="86">
        <f>SUM(IE6:RE6)</f>
        <v>1</v>
      </c>
      <c r="D13" s="129">
        <f>C13/(RE2-ID2)</f>
        <v>4.2553191489361703E-3</v>
      </c>
    </row>
    <row r="14" spans="2:876" ht="29" x14ac:dyDescent="0.35">
      <c r="B14" s="18" t="s">
        <v>541</v>
      </c>
      <c r="C14" s="86">
        <f>SUM(RF6:XC6)</f>
        <v>4</v>
      </c>
      <c r="D14" s="129">
        <f>C14/(XC2-RE2)</f>
        <v>2.5974025974025976E-2</v>
      </c>
    </row>
    <row r="15" spans="2:876" x14ac:dyDescent="0.35">
      <c r="B15" s="18" t="s">
        <v>121</v>
      </c>
      <c r="C15" s="86">
        <f>SUM(XD6:AAK6)</f>
        <v>2</v>
      </c>
      <c r="D15" s="129">
        <f>C15/(AAK2-XC2)</f>
        <v>2.3255813953488372E-2</v>
      </c>
    </row>
    <row r="16" spans="2:876" x14ac:dyDescent="0.35">
      <c r="B16" s="18" t="s">
        <v>110</v>
      </c>
      <c r="C16" s="86">
        <f>SUM(AAL6:ABN6)</f>
        <v>0</v>
      </c>
      <c r="D16" s="129">
        <f>C16/(ABN2-AAK2)</f>
        <v>0</v>
      </c>
    </row>
    <row r="17" spans="2:4" x14ac:dyDescent="0.35">
      <c r="B17" s="18" t="s">
        <v>112</v>
      </c>
      <c r="C17" s="86">
        <f>SUM(ABO6:ADC6)</f>
        <v>0</v>
      </c>
      <c r="D17" s="129">
        <f>C17/(ADC2-ABN2)</f>
        <v>0</v>
      </c>
    </row>
    <row r="18" spans="2:4" x14ac:dyDescent="0.35">
      <c r="B18" s="18" t="s">
        <v>542</v>
      </c>
      <c r="C18" s="86">
        <f>SUM(ADD6:AGR6)</f>
        <v>1</v>
      </c>
      <c r="D18" s="129">
        <f>C18/(AGR2-ADC2)</f>
        <v>1.0752688172043012E-2</v>
      </c>
    </row>
  </sheetData>
  <sheetProtection algorithmName="SHA-512" hashValue="8Jyd4XSS+rRZmvCaH4LMqfazCNpi1T67ZDObCtSf5lcva51z2oQlqWLTC6/5tPxv+7OraJLkhlaU8B2t0lrgZw==" saltValue="/JthAYBatplPDnToK5qZow==" spinCount="100000" sheet="1" objects="1" scenarios="1"/>
  <mergeCells count="8">
    <mergeCell ref="ABO3:ADC3"/>
    <mergeCell ref="ADD3:AGR3"/>
    <mergeCell ref="B3:CM3"/>
    <mergeCell ref="CN3:ID3"/>
    <mergeCell ref="IE3:RE3"/>
    <mergeCell ref="RF3:XC3"/>
    <mergeCell ref="XD3:AAK3"/>
    <mergeCell ref="AAL3:ABN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EF4E6-494A-47C7-8434-795753744520}">
  <dimension ref="A1:W20"/>
  <sheetViews>
    <sheetView showGridLines="0" workbookViewId="0">
      <selection activeCell="F8" sqref="F8"/>
    </sheetView>
  </sheetViews>
  <sheetFormatPr defaultRowHeight="14.5" x14ac:dyDescent="0.35"/>
  <cols>
    <col min="1" max="1" width="12.7265625" bestFit="1" customWidth="1"/>
    <col min="2" max="2" width="6" bestFit="1" customWidth="1"/>
    <col min="3" max="3" width="15.1796875" bestFit="1" customWidth="1"/>
    <col min="4" max="4" width="9" bestFit="1" customWidth="1"/>
    <col min="5" max="5" width="11.54296875" bestFit="1" customWidth="1"/>
    <col min="6" max="6" width="46.81640625" bestFit="1" customWidth="1"/>
    <col min="7" max="8" width="10" customWidth="1"/>
    <col min="9" max="9" width="27.54296875" customWidth="1"/>
    <col min="10" max="10" width="55.7265625" customWidth="1"/>
    <col min="11" max="11" width="16.26953125" customWidth="1"/>
    <col min="12" max="12" width="16.453125" customWidth="1"/>
    <col min="13" max="13" width="22" customWidth="1"/>
    <col min="14" max="14" width="14.81640625" customWidth="1"/>
    <col min="15" max="15" width="12.7265625" customWidth="1"/>
    <col min="16" max="16" width="7" customWidth="1"/>
    <col min="17" max="17" width="5.1796875" customWidth="1"/>
    <col min="18" max="18" width="11" customWidth="1"/>
    <col min="19" max="22" width="9.1796875" customWidth="1"/>
  </cols>
  <sheetData>
    <row r="1" spans="1:23" x14ac:dyDescent="0.35">
      <c r="A1" t="s">
        <v>543</v>
      </c>
      <c r="B1" t="s">
        <v>544</v>
      </c>
      <c r="C1" t="s">
        <v>36</v>
      </c>
      <c r="D1" t="s">
        <v>545</v>
      </c>
      <c r="E1" t="s">
        <v>546</v>
      </c>
      <c r="F1" s="11" t="s">
        <v>547</v>
      </c>
      <c r="G1" s="10" t="s">
        <v>548</v>
      </c>
      <c r="H1" t="s">
        <v>549</v>
      </c>
      <c r="I1" t="s">
        <v>94</v>
      </c>
      <c r="J1" t="s">
        <v>550</v>
      </c>
      <c r="K1" t="s">
        <v>551</v>
      </c>
      <c r="L1" t="s">
        <v>552</v>
      </c>
      <c r="M1" t="s">
        <v>553</v>
      </c>
      <c r="N1" t="s">
        <v>554</v>
      </c>
      <c r="O1" t="s">
        <v>555</v>
      </c>
      <c r="P1" t="s">
        <v>556</v>
      </c>
      <c r="Q1" t="s">
        <v>557</v>
      </c>
      <c r="R1" t="s">
        <v>558</v>
      </c>
      <c r="S1" t="s">
        <v>559</v>
      </c>
      <c r="T1" t="s">
        <v>36</v>
      </c>
      <c r="U1" t="s">
        <v>552</v>
      </c>
      <c r="V1" t="s">
        <v>560</v>
      </c>
      <c r="W1" t="s">
        <v>571</v>
      </c>
    </row>
    <row r="2" spans="1:23" x14ac:dyDescent="0.35">
      <c r="A2" t="s">
        <v>561</v>
      </c>
      <c r="B2" t="s">
        <v>562</v>
      </c>
      <c r="C2" t="s">
        <v>563</v>
      </c>
      <c r="D2" t="s">
        <v>564</v>
      </c>
      <c r="E2" t="s">
        <v>565</v>
      </c>
      <c r="F2" s="11" t="s">
        <v>566</v>
      </c>
      <c r="G2" s="10" t="s">
        <v>567</v>
      </c>
      <c r="H2" t="s">
        <v>568</v>
      </c>
      <c r="I2" t="s">
        <v>569</v>
      </c>
      <c r="J2" t="s">
        <v>570</v>
      </c>
      <c r="K2" t="s">
        <v>571</v>
      </c>
      <c r="L2" t="s">
        <v>572</v>
      </c>
      <c r="M2" t="s">
        <v>573</v>
      </c>
      <c r="N2" t="s">
        <v>574</v>
      </c>
      <c r="O2" t="s">
        <v>575</v>
      </c>
      <c r="P2" t="s">
        <v>555</v>
      </c>
      <c r="Q2" t="s">
        <v>576</v>
      </c>
      <c r="R2" t="s">
        <v>577</v>
      </c>
      <c r="S2" t="s">
        <v>578</v>
      </c>
      <c r="T2" t="s">
        <v>563</v>
      </c>
      <c r="U2" t="s">
        <v>579</v>
      </c>
      <c r="V2" t="s">
        <v>518</v>
      </c>
      <c r="W2" t="s">
        <v>571</v>
      </c>
    </row>
    <row r="3" spans="1:23" x14ac:dyDescent="0.35">
      <c r="A3" t="s">
        <v>580</v>
      </c>
      <c r="B3" t="s">
        <v>581</v>
      </c>
      <c r="C3" t="s">
        <v>582</v>
      </c>
      <c r="D3" t="s">
        <v>583</v>
      </c>
      <c r="F3" s="11" t="s">
        <v>584</v>
      </c>
      <c r="G3" s="10" t="s">
        <v>585</v>
      </c>
      <c r="H3" t="s">
        <v>586</v>
      </c>
      <c r="I3" t="s">
        <v>587</v>
      </c>
      <c r="K3" t="s">
        <v>588</v>
      </c>
      <c r="L3" t="s">
        <v>589</v>
      </c>
      <c r="N3" t="s">
        <v>590</v>
      </c>
      <c r="O3" t="s">
        <v>591</v>
      </c>
      <c r="Q3" t="s">
        <v>591</v>
      </c>
      <c r="S3" t="s">
        <v>592</v>
      </c>
      <c r="T3" t="s">
        <v>591</v>
      </c>
      <c r="U3" t="s">
        <v>593</v>
      </c>
      <c r="W3" t="s">
        <v>571</v>
      </c>
    </row>
    <row r="4" spans="1:23" x14ac:dyDescent="0.35">
      <c r="A4" t="s">
        <v>594</v>
      </c>
      <c r="B4" t="s">
        <v>595</v>
      </c>
      <c r="C4" t="s">
        <v>591</v>
      </c>
      <c r="D4" t="s">
        <v>596</v>
      </c>
      <c r="F4" s="12" t="s">
        <v>597</v>
      </c>
      <c r="G4" s="10" t="s">
        <v>598</v>
      </c>
      <c r="H4" t="s">
        <v>599</v>
      </c>
      <c r="I4" t="s">
        <v>600</v>
      </c>
      <c r="K4" t="s">
        <v>601</v>
      </c>
      <c r="L4" t="s">
        <v>602</v>
      </c>
      <c r="N4" t="s">
        <v>603</v>
      </c>
      <c r="O4" t="s">
        <v>604</v>
      </c>
      <c r="U4" t="s">
        <v>572</v>
      </c>
      <c r="W4" t="s">
        <v>710</v>
      </c>
    </row>
    <row r="5" spans="1:23" x14ac:dyDescent="0.35">
      <c r="A5" t="s">
        <v>605</v>
      </c>
      <c r="B5" t="s">
        <v>606</v>
      </c>
      <c r="F5" s="11" t="s">
        <v>607</v>
      </c>
      <c r="G5" s="10" t="s">
        <v>518</v>
      </c>
      <c r="L5" t="s">
        <v>608</v>
      </c>
      <c r="N5" t="s">
        <v>609</v>
      </c>
      <c r="U5" t="s">
        <v>589</v>
      </c>
      <c r="W5" t="s">
        <v>710</v>
      </c>
    </row>
    <row r="6" spans="1:23" x14ac:dyDescent="0.35">
      <c r="A6" t="s">
        <v>610</v>
      </c>
      <c r="B6" t="s">
        <v>611</v>
      </c>
      <c r="F6" s="11" t="s">
        <v>612</v>
      </c>
      <c r="L6" t="s">
        <v>613</v>
      </c>
      <c r="N6" t="s">
        <v>614</v>
      </c>
      <c r="U6" t="s">
        <v>602</v>
      </c>
      <c r="W6" t="s">
        <v>710</v>
      </c>
    </row>
    <row r="7" spans="1:23" x14ac:dyDescent="0.35">
      <c r="A7" t="s">
        <v>615</v>
      </c>
      <c r="B7" t="s">
        <v>616</v>
      </c>
      <c r="F7" s="11" t="s">
        <v>617</v>
      </c>
      <c r="L7" t="s">
        <v>618</v>
      </c>
      <c r="N7" t="s">
        <v>518</v>
      </c>
      <c r="U7" t="s">
        <v>608</v>
      </c>
      <c r="W7" t="s">
        <v>710</v>
      </c>
    </row>
    <row r="8" spans="1:23" x14ac:dyDescent="0.35">
      <c r="A8" t="s">
        <v>619</v>
      </c>
      <c r="B8" t="s">
        <v>620</v>
      </c>
      <c r="F8" s="11" t="s">
        <v>621</v>
      </c>
      <c r="L8" t="s">
        <v>622</v>
      </c>
      <c r="U8" t="s">
        <v>613</v>
      </c>
      <c r="W8" t="s">
        <v>571</v>
      </c>
    </row>
    <row r="9" spans="1:23" x14ac:dyDescent="0.35">
      <c r="A9" t="s">
        <v>623</v>
      </c>
      <c r="F9" s="11" t="s">
        <v>624</v>
      </c>
      <c r="L9" t="s">
        <v>625</v>
      </c>
      <c r="U9" t="s">
        <v>618</v>
      </c>
      <c r="W9" t="s">
        <v>710</v>
      </c>
    </row>
    <row r="10" spans="1:23" x14ac:dyDescent="0.35">
      <c r="F10" s="11" t="s">
        <v>626</v>
      </c>
      <c r="U10" t="s">
        <v>622</v>
      </c>
      <c r="W10" t="s">
        <v>710</v>
      </c>
    </row>
    <row r="11" spans="1:23" x14ac:dyDescent="0.35">
      <c r="F11" s="11" t="s">
        <v>627</v>
      </c>
      <c r="U11" t="s">
        <v>625</v>
      </c>
      <c r="W11" t="s">
        <v>710</v>
      </c>
    </row>
    <row r="12" spans="1:23" x14ac:dyDescent="0.35">
      <c r="F12" s="11" t="s">
        <v>628</v>
      </c>
      <c r="W12" t="s">
        <v>710</v>
      </c>
    </row>
    <row r="20" spans="1:1" x14ac:dyDescent="0.35">
      <c r="A20" t="s">
        <v>629</v>
      </c>
    </row>
  </sheetData>
  <sheetProtection algorithmName="SHA-512" hashValue="5lFI28SOSPr1MbuKmquGaCG8GPtBdef7QdY2QEjbLjzIDC0pa9HxDtn2WGefS0akIK4yXn/Gb5ZNSHu8uvbAsA==" saltValue="+XsQTAfyVVKfwXHFCliD0w=="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55FD8-E19C-4E4D-80D3-B9CB9EA0B703}">
  <dimension ref="A1:Z179"/>
  <sheetViews>
    <sheetView tabSelected="1" topLeftCell="D1" zoomScale="115" zoomScaleNormal="115" workbookViewId="0">
      <selection activeCell="E2" sqref="E2"/>
    </sheetView>
  </sheetViews>
  <sheetFormatPr defaultColWidth="4.7265625" defaultRowHeight="10" x14ac:dyDescent="0.2"/>
  <cols>
    <col min="1" max="1" width="31.1796875" style="131" customWidth="1"/>
    <col min="2" max="2" width="14.1796875" style="131" bestFit="1" customWidth="1"/>
    <col min="3" max="3" width="51.81640625" style="131" customWidth="1"/>
    <col min="4" max="4" width="26.453125" style="131" customWidth="1"/>
    <col min="5" max="5" width="15.453125" style="155" customWidth="1"/>
    <col min="6" max="6" width="11.7265625" style="131" customWidth="1"/>
    <col min="7" max="9" width="4.7265625" style="131"/>
    <col min="10" max="10" width="43.54296875" style="131" bestFit="1" customWidth="1"/>
    <col min="11" max="11" width="12.26953125" style="131" bestFit="1" customWidth="1"/>
    <col min="12" max="22" width="4.7265625" style="131"/>
    <col min="23" max="23" width="46.81640625" style="131" bestFit="1" customWidth="1"/>
    <col min="24" max="24" width="13.453125" style="131" bestFit="1" customWidth="1"/>
    <col min="25" max="16384" width="4.7265625" style="131"/>
  </cols>
  <sheetData>
    <row r="1" spans="1:26" ht="14.5" x14ac:dyDescent="0.35">
      <c r="A1" s="132" t="s">
        <v>630</v>
      </c>
      <c r="B1" s="132" t="s">
        <v>631</v>
      </c>
      <c r="C1" s="146" t="s">
        <v>632</v>
      </c>
      <c r="D1" s="132" t="str">
        <f t="shared" ref="D1:D2" si="0">IF(COUNTA(E37:ON37)=0,"No Service Required",IF(AND(COUNTIF(E37:ON37,"Yes - Std")&gt;0,COUNTIF(E37:ON37,"Yes - Non-Std")=0),"Standard",IF(AND(COUNTIF(E37:ON37,"Yes - Std")=0,COUNTIF(E37:ON37,"Yes - Non-Std")&gt;0),"Non-Standard","Standard &amp; Non-Standard")))</f>
        <v>Standard &amp; Non-Standard</v>
      </c>
      <c r="E1" s="152" t="str">
        <f>IFERROR(IF(E177&gt;"",#REF!,""),"")</f>
        <v/>
      </c>
      <c r="J1" s="153" t="s">
        <v>715</v>
      </c>
      <c r="K1" s="153" t="s">
        <v>716</v>
      </c>
      <c r="W1" s="11" t="s">
        <v>566</v>
      </c>
      <c r="X1" t="s">
        <v>571</v>
      </c>
      <c r="Y1" s="131" t="s">
        <v>711</v>
      </c>
      <c r="Z1" s="131" t="s">
        <v>984</v>
      </c>
    </row>
    <row r="2" spans="1:26" ht="14.5" x14ac:dyDescent="0.35">
      <c r="A2" s="132" t="s">
        <v>633</v>
      </c>
      <c r="B2" s="132" t="s">
        <v>634</v>
      </c>
      <c r="C2" s="150" t="s">
        <v>714</v>
      </c>
      <c r="D2" s="132" t="str">
        <f t="shared" si="0"/>
        <v>Standard &amp; Non-Standard</v>
      </c>
      <c r="E2" s="152" t="str">
        <f>IFERROR(IF(E177&gt;"",#REF!,""),"")</f>
        <v/>
      </c>
      <c r="J2" s="153" t="s">
        <v>717</v>
      </c>
      <c r="K2" s="153" t="s">
        <v>718</v>
      </c>
      <c r="W2" s="11" t="s">
        <v>584</v>
      </c>
      <c r="X2" t="s">
        <v>571</v>
      </c>
    </row>
    <row r="3" spans="1:26" ht="14.5" x14ac:dyDescent="0.35">
      <c r="A3" s="220" t="s">
        <v>635</v>
      </c>
      <c r="B3" s="132" t="s">
        <v>636</v>
      </c>
      <c r="C3" s="146" t="s">
        <v>637</v>
      </c>
      <c r="D3" s="132" t="str">
        <f>IF(COUNTA(E39:OL39)=0,"No Service Required",IF(AND(COUNTIF(E39:OL39,"Yes - Std")&gt;0,COUNTIF(E39:OL39,"Yes - Non-Std")=0),"Standard",IF(AND(COUNTIF(E39:OL39,"Yes - Std")=0,COUNTIF(E39:OL39,"Yes - Non-Std")&gt;0),"Non-Standard","Standard &amp; Non-Standard")))</f>
        <v>Standard &amp; Non-Standard</v>
      </c>
      <c r="E3" s="152" t="str" cm="1">
        <f t="array" ref="E3">IFERROR(_xlfn.IFS(Longlist!IL5=0,"",'Service Matrix'!#REF!=0,"",Longlist!IY5="Enhanced",'Service Matrix'!Y1,Longlist!JE5="Enhanced",'Service Matrix'!Y1,Longlist!JQ5="Enhanced",'Service Matrix'!Y1, Longlist!JV5="Enhanced",'Service Matrix'!Y1,Longlist!KA5="Enhanced",'Service Matrix'!Y1, Longlist!KF5="Enhanced",'Service Matrix'!Y1,Longlist!JQ5="Standard",'Service Matrix'!#REF!, Longlist!JV5="Standard",'Service Matrix'!#REF!,Longlist!KA5="Standard",'Service Matrix'!#REF!, Longlist!KF5="Standard",'Service Matrix'!#REF!),"")</f>
        <v/>
      </c>
      <c r="W3" s="12" t="s">
        <v>597</v>
      </c>
      <c r="X3" t="s">
        <v>710</v>
      </c>
    </row>
    <row r="4" spans="1:26" ht="14.5" x14ac:dyDescent="0.35">
      <c r="A4" s="221"/>
      <c r="B4" s="132" t="s">
        <v>636</v>
      </c>
      <c r="C4" s="146" t="s">
        <v>638</v>
      </c>
      <c r="D4" s="132" t="str">
        <f t="shared" ref="D4:D67" si="1">IF(COUNTA(E40:ON40)=0,"No Service Required",IF(AND(COUNTIF(E40:ON40,"Yes - Std")&gt;0,COUNTIF(E40:ON40,"Yes - Non-Std")=0),"Standard",IF(AND(COUNTIF(E40:ON40,"Yes - Std")=0,COUNTIF(E40:ON40,"Yes - Non-Std")&gt;0),"Non-Standard","Standard &amp; Non-Standard")))</f>
        <v>Standard &amp; Non-Standard</v>
      </c>
      <c r="E4" s="152" t="str" cm="1">
        <f t="array" ref="E4">IFERROR(_xlfn.IFS(E5&gt;"","",Longlist!IL5=0,"",Longlist!JQ5="Visual Inspection",'Service Matrix'!Y1, Longlist!JV5="Visual Inspection",'Service Matrix'!Y1,Longlist!KA5="Visual Inspection",'Service Matrix'!Y1, Longlist!KF5="Visual Inspection",'Service Matrix'!Y1,Longlist!JQ5="Run to Fail",'Service Matrix'!#REF!, Longlist!JV5="Run to Fail",'Service Matrix'!#REF!,Longlist!KA5="Run to Fail",'Service Matrix'!#REF!, Longlist!KF5="Run to Fail",'Service Matrix'!#REF!),"")</f>
        <v/>
      </c>
      <c r="W4" s="11" t="s">
        <v>607</v>
      </c>
      <c r="X4" t="s">
        <v>710</v>
      </c>
    </row>
    <row r="5" spans="1:26" ht="14.5" x14ac:dyDescent="0.35">
      <c r="A5" s="221"/>
      <c r="B5" s="132" t="s">
        <v>636</v>
      </c>
      <c r="C5" s="146" t="s">
        <v>639</v>
      </c>
      <c r="D5" s="132" t="str">
        <f t="shared" si="1"/>
        <v>Standard &amp; Non-Standard</v>
      </c>
      <c r="E5" s="152"/>
      <c r="W5" s="11" t="s">
        <v>612</v>
      </c>
      <c r="X5" t="s">
        <v>710</v>
      </c>
    </row>
    <row r="6" spans="1:26" ht="14.5" x14ac:dyDescent="0.35">
      <c r="A6" s="221"/>
      <c r="B6" s="132" t="s">
        <v>640</v>
      </c>
      <c r="C6" s="146" t="s">
        <v>641</v>
      </c>
      <c r="D6" s="132" t="str">
        <f t="shared" si="1"/>
        <v>Standard &amp; Non-Standard</v>
      </c>
      <c r="E6" s="152" t="str" cm="1">
        <f t="array" ref="E6">IFERROR(_xlfn.IFS(Longlist!HH5="Enhanced",'Service Matrix'!Y1,Longlist!HH5="Standard",'Service Matrix'!#REF!,Longlist!HA5="Enhanced",'Service Matrix'!Y1,Longlist!HA5="Standard",'Service Matrix'!#REF!),"")</f>
        <v/>
      </c>
      <c r="W6" s="11" t="s">
        <v>617</v>
      </c>
      <c r="X6" t="s">
        <v>710</v>
      </c>
    </row>
    <row r="7" spans="1:26" ht="14.5" x14ac:dyDescent="0.35">
      <c r="A7" s="221"/>
      <c r="B7" s="132" t="s">
        <v>640</v>
      </c>
      <c r="C7" s="146" t="s">
        <v>642</v>
      </c>
      <c r="D7" s="132" t="str">
        <f t="shared" si="1"/>
        <v>Standard &amp; Non-Standard</v>
      </c>
      <c r="E7" s="152" t="str" cm="1">
        <f t="array" ref="E7">IFERROR(_xlfn.IFS(E6&gt;"","",Longlist!HH5="Visual Inspection",'Service Matrix'!Y1,Longlist!HH5="Run to Fail",'Service Matrix'!#REF!,Longlist!HA5="Visual Inspection",'Service Matrix'!Y1,Longlist!HA5="Run to Fail",'Service Matrix'!#REF!),"")</f>
        <v/>
      </c>
      <c r="W7" s="11" t="s">
        <v>621</v>
      </c>
      <c r="X7" t="s">
        <v>571</v>
      </c>
    </row>
    <row r="8" spans="1:26" ht="14.5" x14ac:dyDescent="0.35">
      <c r="A8" s="221"/>
      <c r="B8" s="132" t="s">
        <v>640</v>
      </c>
      <c r="C8" s="146" t="s">
        <v>643</v>
      </c>
      <c r="D8" s="132" t="str">
        <f t="shared" si="1"/>
        <v>Standard &amp; Non-Standard</v>
      </c>
      <c r="E8" s="152" t="str" cm="1">
        <f t="array" ref="E8">IFERROR(_xlfn.IFS(Longlist!SB5="Y",'Service Matrix'!#REF!),"")</f>
        <v/>
      </c>
      <c r="W8" s="11" t="s">
        <v>624</v>
      </c>
      <c r="X8" t="s">
        <v>710</v>
      </c>
    </row>
    <row r="9" spans="1:26" ht="14.5" x14ac:dyDescent="0.35">
      <c r="A9" s="221"/>
      <c r="B9" s="132" t="s">
        <v>644</v>
      </c>
      <c r="C9" s="146" t="s">
        <v>645</v>
      </c>
      <c r="D9" s="132" t="str">
        <f t="shared" si="1"/>
        <v>Standard &amp; Non-Standard</v>
      </c>
      <c r="E9" s="152"/>
      <c r="W9" s="11" t="s">
        <v>626</v>
      </c>
      <c r="X9" t="s">
        <v>710</v>
      </c>
    </row>
    <row r="10" spans="1:26" ht="14.5" x14ac:dyDescent="0.35">
      <c r="A10" s="221"/>
      <c r="B10" s="132" t="s">
        <v>644</v>
      </c>
      <c r="C10" s="146" t="s">
        <v>646</v>
      </c>
      <c r="D10" s="132" t="str">
        <f t="shared" si="1"/>
        <v>Standard &amp; Non-Standard</v>
      </c>
      <c r="E10" s="152"/>
      <c r="W10" s="11" t="s">
        <v>627</v>
      </c>
      <c r="X10" t="s">
        <v>710</v>
      </c>
    </row>
    <row r="11" spans="1:26" ht="14.5" x14ac:dyDescent="0.35">
      <c r="A11" s="221"/>
      <c r="B11" s="132" t="s">
        <v>644</v>
      </c>
      <c r="C11" s="146" t="s">
        <v>647</v>
      </c>
      <c r="D11" s="132" t="str">
        <f t="shared" si="1"/>
        <v>Standard &amp; Non-Standard</v>
      </c>
      <c r="E11" s="152"/>
      <c r="W11" s="11" t="s">
        <v>628</v>
      </c>
      <c r="X11" t="s">
        <v>710</v>
      </c>
    </row>
    <row r="12" spans="1:26" x14ac:dyDescent="0.2">
      <c r="A12" s="221"/>
      <c r="B12" s="132" t="s">
        <v>648</v>
      </c>
      <c r="C12" s="146" t="s">
        <v>649</v>
      </c>
      <c r="D12" s="132" t="str">
        <f t="shared" si="1"/>
        <v>Standard &amp; Non-Standard</v>
      </c>
      <c r="E12" s="152" t="str" cm="1">
        <f t="array" ref="E12">IFERROR(_xlfn.IFS(Longlist!EH5="Monthly",'Service Matrix'!Y1,Longlist!EH5="Six Monthly",'Service Matrix'!#REF!,Longlist!EN5='Service Matrix'!#REF!,#REF!),"")</f>
        <v/>
      </c>
    </row>
    <row r="13" spans="1:26" x14ac:dyDescent="0.2">
      <c r="A13" s="221"/>
      <c r="B13" s="132" t="s">
        <v>648</v>
      </c>
      <c r="C13" s="146" t="s">
        <v>650</v>
      </c>
      <c r="D13" s="132" t="str">
        <f t="shared" si="1"/>
        <v>Standard &amp; Non-Standard</v>
      </c>
      <c r="E13" s="152" t="str" cm="1">
        <f t="array" ref="E13">IFERROR(_xlfn.IFS(E12&gt;"","",Longlist!EH5="Annually",'Service Matrix'!#REF!),"")</f>
        <v/>
      </c>
    </row>
    <row r="14" spans="1:26" x14ac:dyDescent="0.2">
      <c r="A14" s="221"/>
      <c r="B14" s="132" t="s">
        <v>648</v>
      </c>
      <c r="C14" s="146" t="s">
        <v>651</v>
      </c>
      <c r="D14" s="132" t="str">
        <f t="shared" si="1"/>
        <v>Standard &amp; Non-Standard</v>
      </c>
      <c r="E14" s="152"/>
    </row>
    <row r="15" spans="1:26" x14ac:dyDescent="0.2">
      <c r="A15" s="221"/>
      <c r="B15" s="132" t="s">
        <v>652</v>
      </c>
      <c r="C15" s="146" t="s">
        <v>653</v>
      </c>
      <c r="D15" s="132" t="str">
        <f t="shared" si="1"/>
        <v>Standard &amp; Non-Standard</v>
      </c>
      <c r="E15" s="152" t="str" cm="1">
        <f t="array" ref="E15">IFERROR(_xlfn.IFS(Longlist!FY5="Enhanced",'Service Matrix'!Y1,Longlist!GC5="Enhanced",'Service Matrix'!Y1,Longlist!GG5="Enhanced",'Service Matrix'!Y1,Longlist!GK5="Enhanced",'Service Matrix'!Y1,Longlist!GO5="Enhanced",'Service Matrix'!Y1,Longlist!GS5="Enhanced",'Service Matrix'!Y1,Longlist!FY5="Standard",'Service Matrix'!#REF!,Longlist!GC5="Standard",'Service Matrix'!#REF!,Longlist!GG5="Standard",'Service Matrix'!#REF!,Longlist!GK5="Standard",'Service Matrix'!#REF!,Longlist!GO5="Standard",'Service Matrix'!#REF!,Longlist!GS5="Standard",#REF!),"")</f>
        <v/>
      </c>
    </row>
    <row r="16" spans="1:26" x14ac:dyDescent="0.2">
      <c r="A16" s="221"/>
      <c r="B16" s="132" t="s">
        <v>652</v>
      </c>
      <c r="C16" s="146" t="s">
        <v>654</v>
      </c>
      <c r="D16" s="132" t="str">
        <f t="shared" si="1"/>
        <v>Standard &amp; Non-Standard</v>
      </c>
      <c r="E16" s="152" t="str" cm="1">
        <f t="array" ref="E16">IFERROR(_xlfn.IFS(E15&gt;22,"",Longlist!FY5="Visual Inspection",'Service Matrix'!Y1,Longlist!GC5="Visual Inspection",'Service Matrix'!Y1,Longlist!GG5="Visual Inspection",'Service Matrix'!Y1,Longlist!GK5="Visual Inspection",'Service Matrix'!Y1,Longlist!GO5="Visual Inspection",'Service Matrix'!Y1,Longlist!GS5="Visual Inspection",'Service Matrix'!Y1,Longlist!FY5="Run to Fail",'Service Matrix'!#REF!,Longlist!GC5="Run to Fail",'Service Matrix'!#REF!,Longlist!GG5="Run to Fail",'Service Matrix'!#REF!,Longlist!GK5="Run to Fail",'Service Matrix'!#REF!,Longlist!GO5="Run to Fail",'Service Matrix'!#REF!,Longlist!GS5="Run to Fail",#REF!),"")</f>
        <v/>
      </c>
    </row>
    <row r="17" spans="1:5" x14ac:dyDescent="0.2">
      <c r="A17" s="221"/>
      <c r="B17" s="132" t="s">
        <v>652</v>
      </c>
      <c r="C17" s="146" t="s">
        <v>655</v>
      </c>
      <c r="D17" s="132" t="str">
        <f t="shared" si="1"/>
        <v>Standard &amp; Non-Standard</v>
      </c>
      <c r="E17" s="152"/>
    </row>
    <row r="18" spans="1:5" x14ac:dyDescent="0.2">
      <c r="A18" s="221"/>
      <c r="B18" s="132" t="s">
        <v>656</v>
      </c>
      <c r="C18" s="146" t="s">
        <v>657</v>
      </c>
      <c r="D18" s="132" t="str">
        <f t="shared" si="1"/>
        <v>Standard &amp; Non-Standard</v>
      </c>
      <c r="E18" s="152" t="str" cm="1">
        <f t="array" ref="E18">IFERROR(_xlfn.IFS(Longlist!PE5="Enhanced",Y1,Longlist!PE5="Standard",#REF!,Longlist!PM5="Enhanced",Y1,Longlist!PM5="Standard",#REF!,Longlist!KQ5="Enhanced",Y1,Longlist!KQ5="Standard",#REF!,Longlist!KW5="Enhanced",Y1,Longlist!KW5="Standard",#REF!,Longlist!OO5="Enhanced",Y1,Longlist!OO5="Standard",#REF!),"")</f>
        <v/>
      </c>
    </row>
    <row r="19" spans="1:5" x14ac:dyDescent="0.2">
      <c r="A19" s="221"/>
      <c r="B19" s="132" t="s">
        <v>656</v>
      </c>
      <c r="C19" s="146" t="s">
        <v>658</v>
      </c>
      <c r="D19" s="132" t="str">
        <f t="shared" si="1"/>
        <v>Standard &amp; Non-Standard</v>
      </c>
      <c r="E19" s="152" t="str" cm="1">
        <f t="array" ref="E19">IFERROR(_xlfn.IFS(E18&gt;"","",Longlist!PE5="Visual Inspection",Y1,Longlist!PE5="Run to Fail",#REF!,Longlist!PM5="Visual Inspection",Y1,Longlist!PM5="Run to Fail",#REF!,Longlist!KQ5="Visual Inspection",Y1,Longlist!KQ5="Run to Fail",#REF!,Longlist!KW5="Visual Inspection",Y1,Longlist!KW5="Run to Fail",#REF!),"")</f>
        <v/>
      </c>
    </row>
    <row r="20" spans="1:5" x14ac:dyDescent="0.2">
      <c r="A20" s="221"/>
      <c r="B20" s="132" t="s">
        <v>656</v>
      </c>
      <c r="C20" s="146" t="s">
        <v>659</v>
      </c>
      <c r="D20" s="132" t="str">
        <f t="shared" si="1"/>
        <v>Standard &amp; Non-Standard</v>
      </c>
      <c r="E20" s="152"/>
    </row>
    <row r="21" spans="1:5" x14ac:dyDescent="0.2">
      <c r="A21" s="221"/>
      <c r="B21" s="132" t="s">
        <v>660</v>
      </c>
      <c r="C21" s="146" t="s">
        <v>661</v>
      </c>
      <c r="D21" s="132" t="str">
        <f t="shared" si="1"/>
        <v>Standard &amp; Non-Standard</v>
      </c>
      <c r="E21" s="152" t="str" cm="1">
        <f t="array" ref="E21">IFERROR(_xlfn.IFS(Longlist!IK5='Service Matrix'!#REF!,'Service Matrix'!#REF!,Longlist!IL5='Service Matrix'!#REF!,'Service Matrix'!#REF!),"")</f>
        <v/>
      </c>
    </row>
    <row r="22" spans="1:5" x14ac:dyDescent="0.2">
      <c r="A22" s="221"/>
      <c r="B22" s="132" t="s">
        <v>660</v>
      </c>
      <c r="C22" s="146" t="s">
        <v>662</v>
      </c>
      <c r="D22" s="132" t="str">
        <f t="shared" si="1"/>
        <v>Standard &amp; Non-Standard</v>
      </c>
      <c r="E22" s="152"/>
    </row>
    <row r="23" spans="1:5" x14ac:dyDescent="0.2">
      <c r="A23" s="221"/>
      <c r="B23" s="132" t="s">
        <v>660</v>
      </c>
      <c r="C23" s="146" t="s">
        <v>663</v>
      </c>
      <c r="D23" s="132" t="str">
        <f t="shared" si="1"/>
        <v>Standard &amp; Non-Standard</v>
      </c>
      <c r="E23" s="152"/>
    </row>
    <row r="24" spans="1:5" x14ac:dyDescent="0.2">
      <c r="A24" s="221"/>
      <c r="B24" s="132" t="s">
        <v>664</v>
      </c>
      <c r="C24" s="146" t="s">
        <v>665</v>
      </c>
      <c r="D24" s="132" t="str">
        <f t="shared" si="1"/>
        <v>Standard &amp; Non-Standard</v>
      </c>
      <c r="E24" s="152" t="str">
        <f>IFERROR(IF(Longlist!$IL$5=#REF!,'Service Matrix'!#REF!,""),"")</f>
        <v/>
      </c>
    </row>
    <row r="25" spans="1:5" x14ac:dyDescent="0.2">
      <c r="A25" s="221"/>
      <c r="B25" s="132" t="s">
        <v>666</v>
      </c>
      <c r="C25" s="146" t="s">
        <v>667</v>
      </c>
      <c r="D25" s="132" t="str">
        <f t="shared" si="1"/>
        <v>Standard &amp; Non-Standard</v>
      </c>
      <c r="E25" s="152"/>
    </row>
    <row r="26" spans="1:5" x14ac:dyDescent="0.2">
      <c r="A26" s="221"/>
      <c r="B26" s="132" t="s">
        <v>668</v>
      </c>
      <c r="C26" s="146" t="s">
        <v>669</v>
      </c>
      <c r="D26" s="132" t="str">
        <f t="shared" si="1"/>
        <v>Standard &amp; Non-Standard</v>
      </c>
      <c r="E26" s="152" t="str" cm="1">
        <f t="array" ref="E26">IFERROR(_xlfn.IFS(Longlist!LB5="N/A","",Longlist!LB5="Standard",#REF!,Longlist!LB5&gt;0,Y1,Longlist!LH5="Standard",#REF!,Longlist!LH5&gt;0,Y1,Longlist!LO5="Standard",#REF!,Longlist!LO5&gt;0,Y1,Longlist!LU5="Standard",#REF!,Longlist!LU5&gt;0,Y1,Longlist!MA5="Standard",#REF!,Longlist!MA5&gt;0,Y1,Longlist!MG5="Standard",#REF!,Longlist!MG5&gt;0,Y1),"")</f>
        <v/>
      </c>
    </row>
    <row r="27" spans="1:5" x14ac:dyDescent="0.2">
      <c r="A27" s="221"/>
      <c r="B27" s="132" t="s">
        <v>670</v>
      </c>
      <c r="C27" s="146" t="s">
        <v>671</v>
      </c>
      <c r="D27" s="132" t="str">
        <f t="shared" si="1"/>
        <v>Standard &amp; Non-Standard</v>
      </c>
      <c r="E27" s="152" t="str" cm="1">
        <f t="array" ref="E27">IFERROR(_xlfn.IFS(Longlist!IS5=0,"",Longlist!IS5="Enhanced",Y1,Longlist!IS5="Standard",'Service Matrix'!#REF!,Longlist!IY5="Standard",'Service Matrix'!#REF!,Longlist!JE5="Standard",'Service Matrix'!#REF!),"")</f>
        <v/>
      </c>
    </row>
    <row r="28" spans="1:5" x14ac:dyDescent="0.2">
      <c r="A28" s="221"/>
      <c r="B28" s="132" t="s">
        <v>670</v>
      </c>
      <c r="C28" s="146" t="s">
        <v>672</v>
      </c>
      <c r="D28" s="132" t="str">
        <f t="shared" si="1"/>
        <v>Standard &amp; Non-Standard</v>
      </c>
      <c r="E28" s="152" t="str" cm="1">
        <f t="array" ref="E28">IFERROR(_xlfn.IFS(E27&gt;"","",Longlist!IS5=0,"",Longlist!IS5="Run to Fail",#REF!,Longlist!IS5="Visual Inspection",'Service Matrix'!Y1),"")</f>
        <v/>
      </c>
    </row>
    <row r="29" spans="1:5" x14ac:dyDescent="0.2">
      <c r="A29" s="221"/>
      <c r="B29" s="132" t="s">
        <v>670</v>
      </c>
      <c r="C29" s="146" t="s">
        <v>673</v>
      </c>
      <c r="D29" s="132" t="str">
        <f t="shared" si="1"/>
        <v>Standard &amp; Non-Standard</v>
      </c>
      <c r="E29" s="152"/>
    </row>
    <row r="30" spans="1:5" x14ac:dyDescent="0.2">
      <c r="A30" s="221"/>
      <c r="B30" s="132" t="s">
        <v>674</v>
      </c>
      <c r="C30" s="146" t="s">
        <v>675</v>
      </c>
      <c r="D30" s="132" t="str">
        <f t="shared" si="1"/>
        <v>Standard &amp; Non-Standard</v>
      </c>
      <c r="E30" s="152" t="str" cm="1">
        <f t="array" ref="E30">IFERROR(_xlfn.IFS(Longlist!IY5=0,"",Longlist!IY5="Enhanced",'Service Matrix'!Y1,Longlist!IY5="Standard",'Service Matrix'!#REF!),"")</f>
        <v/>
      </c>
    </row>
    <row r="31" spans="1:5" x14ac:dyDescent="0.2">
      <c r="A31" s="221"/>
      <c r="B31" s="132" t="s">
        <v>674</v>
      </c>
      <c r="C31" s="146" t="s">
        <v>676</v>
      </c>
      <c r="D31" s="132" t="str">
        <f t="shared" si="1"/>
        <v>Standard &amp; Non-Standard</v>
      </c>
      <c r="E31" s="152" t="str" cm="1">
        <f t="array" ref="E31">IFERROR(_xlfn.IFS(E30&gt;"","",Longlist!IY5=0,"",Longlist!IY5="Visual Inspection",'Service Matrix'!Y1,Longlist!IY5="Run to Fail",'Service Matrix'!#REF!),"")</f>
        <v/>
      </c>
    </row>
    <row r="32" spans="1:5" x14ac:dyDescent="0.2">
      <c r="A32" s="221"/>
      <c r="B32" s="132" t="s">
        <v>674</v>
      </c>
      <c r="C32" s="146" t="s">
        <v>677</v>
      </c>
      <c r="D32" s="132" t="str">
        <f t="shared" si="1"/>
        <v>Standard &amp; Non-Standard</v>
      </c>
      <c r="E32" s="152"/>
    </row>
    <row r="33" spans="1:5" x14ac:dyDescent="0.2">
      <c r="A33" s="221"/>
      <c r="B33" s="132" t="s">
        <v>719</v>
      </c>
      <c r="C33" s="146" t="s">
        <v>720</v>
      </c>
      <c r="D33" s="132" t="str">
        <f t="shared" si="1"/>
        <v>Standard &amp; Non-Standard</v>
      </c>
      <c r="E33" s="152" t="str" cm="1">
        <f t="array" ref="E33">IFERROR(_xlfn.IFS(Longlist!KK5=0,"",Longlist!KK5="Enhanced",'Service Matrix'!Y1,Longlist!KK5="Standard",'Service Matrix'!#REF!),"")</f>
        <v/>
      </c>
    </row>
    <row r="34" spans="1:5" x14ac:dyDescent="0.2">
      <c r="A34" s="221"/>
      <c r="B34" s="132" t="s">
        <v>719</v>
      </c>
      <c r="C34" s="146" t="s">
        <v>721</v>
      </c>
      <c r="D34" s="132" t="str">
        <f t="shared" si="1"/>
        <v>Standard &amp; Non-Standard</v>
      </c>
      <c r="E34" s="152" t="str" cm="1">
        <f t="array" ref="E34">IFERROR(_xlfn.IFS(E33&gt;"","",Longlist!KK5=0,"",Longlist!KK5="Visual Inspection",'Service Matrix'!Y1,Longlist!KK5="Run to Fail",'Service Matrix'!#REF!),"")</f>
        <v/>
      </c>
    </row>
    <row r="35" spans="1:5" x14ac:dyDescent="0.2">
      <c r="A35" s="221"/>
      <c r="B35" s="132" t="s">
        <v>719</v>
      </c>
      <c r="C35" s="146" t="s">
        <v>722</v>
      </c>
      <c r="D35" s="132" t="str">
        <f t="shared" si="1"/>
        <v>Standard &amp; Non-Standard</v>
      </c>
      <c r="E35" s="152"/>
    </row>
    <row r="36" spans="1:5" x14ac:dyDescent="0.2">
      <c r="A36" s="221"/>
      <c r="B36" s="132" t="s">
        <v>723</v>
      </c>
      <c r="C36" s="146" t="s">
        <v>724</v>
      </c>
      <c r="D36" s="132" t="str">
        <f t="shared" si="1"/>
        <v>Standard &amp; Non-Standard</v>
      </c>
      <c r="E36" s="152" t="str">
        <f>IFERROR(IF(Longlist!$QR$5=#REF!,'Service Matrix'!#REF!,""),"")</f>
        <v/>
      </c>
    </row>
    <row r="37" spans="1:5" x14ac:dyDescent="0.2">
      <c r="A37" s="221"/>
      <c r="B37" s="132" t="s">
        <v>725</v>
      </c>
      <c r="C37" s="146" t="s">
        <v>726</v>
      </c>
      <c r="D37" s="132" t="str">
        <f t="shared" si="1"/>
        <v>Standard &amp; Non-Standard</v>
      </c>
      <c r="E37" s="152" t="str">
        <f>IFERROR(IF(Longlist!$PV$5=#REF!,'Service Matrix'!#REF!,""),"")</f>
        <v/>
      </c>
    </row>
    <row r="38" spans="1:5" x14ac:dyDescent="0.2">
      <c r="A38" s="221"/>
      <c r="B38" s="132" t="s">
        <v>727</v>
      </c>
      <c r="C38" s="146" t="s">
        <v>728</v>
      </c>
      <c r="D38" s="132" t="str">
        <f t="shared" si="1"/>
        <v>Standard &amp; Non-Standard</v>
      </c>
      <c r="E38" s="152" t="str">
        <f>IFERROR(IF(Longlist!$QX$5=#REF!,'Service Matrix'!#REF!,""),"")</f>
        <v/>
      </c>
    </row>
    <row r="39" spans="1:5" x14ac:dyDescent="0.2">
      <c r="A39" s="221"/>
      <c r="B39" s="132" t="s">
        <v>729</v>
      </c>
      <c r="C39" s="154" t="s">
        <v>730</v>
      </c>
      <c r="D39" s="132" t="str">
        <f t="shared" si="1"/>
        <v>Standard &amp; Non-Standard</v>
      </c>
      <c r="E39" s="155" t="str" cm="1">
        <f t="array" ref="E39">IFERROR(_xlfn.IFS(E3&gt;"",#REF!),"")</f>
        <v/>
      </c>
    </row>
    <row r="40" spans="1:5" x14ac:dyDescent="0.2">
      <c r="A40" s="221"/>
      <c r="B40" s="132" t="s">
        <v>731</v>
      </c>
      <c r="C40" s="146" t="s">
        <v>732</v>
      </c>
      <c r="D40" s="132" t="str">
        <f t="shared" si="1"/>
        <v>Standard &amp; Non-Standard</v>
      </c>
      <c r="E40" s="152" t="str">
        <f>IFERROR(IF(Longlist!$QB$5=#REF!,'Service Matrix'!#REF!,""),"")</f>
        <v/>
      </c>
    </row>
    <row r="41" spans="1:5" x14ac:dyDescent="0.2">
      <c r="A41" s="221"/>
      <c r="B41" s="132" t="s">
        <v>733</v>
      </c>
      <c r="C41" s="146" t="s">
        <v>734</v>
      </c>
      <c r="D41" s="132" t="str">
        <f t="shared" si="1"/>
        <v>Standard &amp; Non-Standard</v>
      </c>
      <c r="E41" s="152" t="str">
        <f>IFERROR(IF(Longlist!$QG$5=#REF!,'Service Matrix'!#REF!,""),"")</f>
        <v/>
      </c>
    </row>
    <row r="42" spans="1:5" x14ac:dyDescent="0.2">
      <c r="A42" s="221"/>
      <c r="B42" s="132" t="s">
        <v>735</v>
      </c>
      <c r="C42" s="146" t="s">
        <v>736</v>
      </c>
      <c r="D42" s="132" t="str">
        <f t="shared" si="1"/>
        <v>Standard &amp; Non-Standard</v>
      </c>
      <c r="E42" s="152" t="str">
        <f>IFERROR(IF(Longlist!$RB$5="Y",'Service Matrix'!#REF!,""),"")</f>
        <v/>
      </c>
    </row>
    <row r="43" spans="1:5" x14ac:dyDescent="0.2">
      <c r="A43" s="222"/>
      <c r="B43" s="132" t="s">
        <v>737</v>
      </c>
      <c r="C43" s="146" t="s">
        <v>738</v>
      </c>
      <c r="D43" s="132" t="str">
        <f t="shared" si="1"/>
        <v>Standard &amp; Non-Standard</v>
      </c>
      <c r="E43" s="152" t="str" cm="1">
        <f t="array" ref="E43">IFERROR(_xlfn.IFS(Longlist!$RC$5="Y",'Service Matrix'!#REF!,Longlist!XO5="Y",Y1),"")</f>
        <v/>
      </c>
    </row>
    <row r="44" spans="1:5" x14ac:dyDescent="0.2">
      <c r="A44" s="220" t="s">
        <v>739</v>
      </c>
      <c r="B44" s="132" t="s">
        <v>740</v>
      </c>
      <c r="C44" s="146" t="s">
        <v>741</v>
      </c>
      <c r="D44" s="132" t="str">
        <f t="shared" si="1"/>
        <v>Standard &amp; Non-Standard</v>
      </c>
      <c r="E44" s="152" t="str">
        <f>IFERROR(IF(Longlist!$CO$5=#REF!,'Service Matrix'!#REF!,""),"")</f>
        <v/>
      </c>
    </row>
    <row r="45" spans="1:5" x14ac:dyDescent="0.2">
      <c r="A45" s="221"/>
      <c r="B45" s="132" t="s">
        <v>742</v>
      </c>
      <c r="C45" s="146" t="s">
        <v>743</v>
      </c>
      <c r="D45" s="132" t="str">
        <f t="shared" si="1"/>
        <v>Standard &amp; Non-Standard</v>
      </c>
      <c r="E45" s="152" t="str">
        <f>IFERROR(IF(Longlist!$CU$5=#REF!,'Service Matrix'!#REF!,""),"")</f>
        <v/>
      </c>
    </row>
    <row r="46" spans="1:5" x14ac:dyDescent="0.2">
      <c r="A46" s="221"/>
      <c r="B46" s="132" t="s">
        <v>744</v>
      </c>
      <c r="C46" s="146" t="s">
        <v>745</v>
      </c>
      <c r="D46" s="132" t="str">
        <f t="shared" si="1"/>
        <v>No Service Required</v>
      </c>
      <c r="E46" s="152" t="str" cm="1">
        <f t="array" ref="E46">IFERROR(_xlfn.IFS(E3&gt;"",#REF!,E4&gt;"",#REF!,E44&gt;"",#REF!,E6&gt;"",#REF!,E5&gt;"",#REF!,E7&gt;"",#REF!,E12&gt;"",#REF!,E13&gt;"",#REF!,E15&gt;"",#REF!,E16&gt;"",#REF!,E45&gt;"",#REF!,E47&gt;"",#REF!,E48&gt;"",#REF!,E50&gt;"",#REF!,E51&gt;"",#REF!,E55&gt;"",#REF!,Longlist!FF5&gt;0,#REF!),"")</f>
        <v/>
      </c>
    </row>
    <row r="47" spans="1:5" x14ac:dyDescent="0.2">
      <c r="A47" s="221"/>
      <c r="B47" s="132" t="s">
        <v>746</v>
      </c>
      <c r="C47" s="146" t="s">
        <v>747</v>
      </c>
      <c r="D47" s="132" t="str">
        <f t="shared" si="1"/>
        <v>No Service Required</v>
      </c>
      <c r="E47" s="152" t="str" cm="1">
        <f t="array" ref="E47">IFERROR(_xlfn.IFS(Longlist!DP5=0,"",Longlist!DT5="Y",Y1,Longlist!DP5="Y",#REF!),"")</f>
        <v/>
      </c>
    </row>
    <row r="48" spans="1:5" x14ac:dyDescent="0.2">
      <c r="A48" s="221"/>
      <c r="B48" s="132" t="s">
        <v>748</v>
      </c>
      <c r="C48" s="146" t="s">
        <v>749</v>
      </c>
      <c r="D48" s="132" t="str">
        <f t="shared" si="1"/>
        <v>No Service Required</v>
      </c>
      <c r="E48" s="152" t="str" cm="1">
        <f t="array" ref="E48">IFERROR(_xlfn.IFS(E3&gt;"",#REF!,E4&gt;"",#REF!,E44&gt;"",#REF!,E6&gt;"",#REF!,E5&gt;"",#REF!,E7&gt;"",#REF!,E12&gt;"",#REF!,E13&gt;"",#REF!,E15&gt;"",#REF!,E16&gt;"",#REF!,E45&gt;"",#REF!,E47&gt;"",#REF!,E50&gt;"",#REF!,E51&gt;"",#REF!,E55&gt;"",#REF!,Longlist!FF5&gt;0,#REF!),"")</f>
        <v/>
      </c>
    </row>
    <row r="49" spans="1:5" x14ac:dyDescent="0.2">
      <c r="A49" s="221"/>
      <c r="B49" s="132" t="s">
        <v>750</v>
      </c>
      <c r="C49" s="146" t="s">
        <v>751</v>
      </c>
      <c r="D49" s="132" t="str">
        <f t="shared" si="1"/>
        <v>Standard &amp; Non-Standard</v>
      </c>
      <c r="E49" s="152" t="str">
        <f>IFERROR(IF(Longlist!$CI$5="Y",'Service Matrix'!#REF!,""),"")</f>
        <v/>
      </c>
    </row>
    <row r="50" spans="1:5" x14ac:dyDescent="0.2">
      <c r="A50" s="221"/>
      <c r="B50" s="132" t="s">
        <v>752</v>
      </c>
      <c r="C50" s="146" t="s">
        <v>753</v>
      </c>
      <c r="D50" s="132" t="str">
        <f t="shared" si="1"/>
        <v>Standard &amp; Non-Standard</v>
      </c>
      <c r="E50" s="152" t="str">
        <f>IFERROR(IF(Longlist!$DL$5=#REF!,'Service Matrix'!#REF!,""),"")</f>
        <v/>
      </c>
    </row>
    <row r="51" spans="1:5" x14ac:dyDescent="0.2">
      <c r="A51" s="221"/>
      <c r="B51" s="132" t="s">
        <v>754</v>
      </c>
      <c r="C51" s="146" t="s">
        <v>755</v>
      </c>
      <c r="D51" s="132" t="str">
        <f t="shared" si="1"/>
        <v>Standard &amp; Non-Standard</v>
      </c>
      <c r="E51" s="152" t="str">
        <f>IFERROR(IF(Longlist!$DW$5=#REF!,'Service Matrix'!#REF!,""),"")</f>
        <v/>
      </c>
    </row>
    <row r="52" spans="1:5" x14ac:dyDescent="0.2">
      <c r="A52" s="221"/>
      <c r="B52" s="132" t="s">
        <v>756</v>
      </c>
      <c r="C52" s="146" t="s">
        <v>757</v>
      </c>
      <c r="D52" s="132" t="str">
        <f t="shared" si="1"/>
        <v>Standard &amp; Non-Standard</v>
      </c>
      <c r="E52" s="152" t="str">
        <f>IFERROR(IF(Longlist!AK$5="Y",'Service Matrix'!#REF!,""),"")</f>
        <v/>
      </c>
    </row>
    <row r="53" spans="1:5" x14ac:dyDescent="0.2">
      <c r="A53" s="221"/>
      <c r="B53" s="132" t="s">
        <v>758</v>
      </c>
      <c r="C53" s="146" t="s">
        <v>759</v>
      </c>
      <c r="D53" s="132" t="str">
        <f t="shared" si="1"/>
        <v>No Service Required</v>
      </c>
      <c r="E53" s="152" t="str">
        <f>IFERROR(IF(Longlist!AFO$5="Y",'Service Matrix'!#REF!,""),"")</f>
        <v/>
      </c>
    </row>
    <row r="54" spans="1:5" x14ac:dyDescent="0.2">
      <c r="A54" s="221"/>
      <c r="B54" s="132" t="s">
        <v>760</v>
      </c>
      <c r="C54" s="146" t="s">
        <v>761</v>
      </c>
      <c r="D54" s="132" t="str">
        <f t="shared" si="1"/>
        <v>Standard &amp; Non-Standard</v>
      </c>
      <c r="E54" s="152" t="str">
        <f>IFERROR(IF(Longlist!AFV$5="Y",'Service Matrix'!#REF!,""),"")</f>
        <v/>
      </c>
    </row>
    <row r="55" spans="1:5" x14ac:dyDescent="0.2">
      <c r="A55" s="221"/>
      <c r="B55" s="132" t="s">
        <v>762</v>
      </c>
      <c r="C55" s="146" t="s">
        <v>763</v>
      </c>
      <c r="D55" s="132" t="str">
        <f t="shared" si="1"/>
        <v>Standard &amp; Non-Standard</v>
      </c>
      <c r="E55" s="152" t="str">
        <f>IFERROR(IF(Longlist!HL$5=#REF!,'Service Matrix'!#REF!,""),"")</f>
        <v/>
      </c>
    </row>
    <row r="56" spans="1:5" x14ac:dyDescent="0.2">
      <c r="A56" s="222"/>
      <c r="B56" s="132" t="s">
        <v>764</v>
      </c>
      <c r="C56" s="146" t="s">
        <v>765</v>
      </c>
      <c r="D56" s="132" t="str">
        <f t="shared" si="1"/>
        <v>Standard &amp; Non-Standard</v>
      </c>
      <c r="E56" s="152" t="str">
        <f>IFERROR(IF(Longlist!AG$5="Y",'Service Matrix'!#REF!,""),"")</f>
        <v/>
      </c>
    </row>
    <row r="57" spans="1:5" x14ac:dyDescent="0.2">
      <c r="A57" s="220" t="s">
        <v>766</v>
      </c>
      <c r="B57" s="132" t="s">
        <v>767</v>
      </c>
      <c r="C57" s="146" t="s">
        <v>768</v>
      </c>
      <c r="D57" s="132" t="str">
        <f t="shared" si="1"/>
        <v>Standard &amp; Non-Standard</v>
      </c>
      <c r="E57" s="152" t="str" cm="1">
        <f t="array" ref="E57">IFERROR(_xlfn.IFS(Longlist!XF5=0,"",Longlist!YB5="Y",Y1,Longlist!XF5="Y",#REF!),"")</f>
        <v/>
      </c>
    </row>
    <row r="58" spans="1:5" x14ac:dyDescent="0.2">
      <c r="A58" s="221"/>
      <c r="B58" s="132" t="s">
        <v>769</v>
      </c>
      <c r="C58" s="146" t="s">
        <v>770</v>
      </c>
      <c r="D58" s="132" t="str">
        <f t="shared" si="1"/>
        <v>Standard &amp; Non-Standard</v>
      </c>
      <c r="E58" s="152" t="str">
        <f>IFERROR(IF(Longlist!YE$5="Y",'Service Matrix'!#REF!,""),"")</f>
        <v/>
      </c>
    </row>
    <row r="59" spans="1:5" x14ac:dyDescent="0.2">
      <c r="A59" s="221"/>
      <c r="B59" s="132" t="s">
        <v>771</v>
      </c>
      <c r="C59" s="146" t="s">
        <v>772</v>
      </c>
      <c r="D59" s="132" t="str">
        <f t="shared" si="1"/>
        <v>Standard &amp; Non-Standard</v>
      </c>
      <c r="E59" s="152" t="str">
        <f>IFERROR(IF(Longlist!YQ5&gt;0,'Service Matrix'!#REF!,""),"")</f>
        <v/>
      </c>
    </row>
    <row r="60" spans="1:5" x14ac:dyDescent="0.2">
      <c r="A60" s="221"/>
      <c r="B60" s="132" t="s">
        <v>773</v>
      </c>
      <c r="C60" s="146" t="s">
        <v>774</v>
      </c>
      <c r="D60" s="132" t="str">
        <f t="shared" si="1"/>
        <v>Standard &amp; Non-Standard</v>
      </c>
      <c r="E60" s="152" t="str" cm="1">
        <f t="array" ref="E60">IFERROR(_xlfn.IFS(Longlist!XY5=0,"",Longlist!XX5=#REF!,Y1,Longlist!XY5="Y",#REF!),"")</f>
        <v/>
      </c>
    </row>
    <row r="61" spans="1:5" x14ac:dyDescent="0.2">
      <c r="A61" s="221"/>
      <c r="B61" s="132" t="s">
        <v>775</v>
      </c>
      <c r="C61" s="156" t="s">
        <v>776</v>
      </c>
      <c r="D61" s="132" t="str">
        <f t="shared" si="1"/>
        <v>Standard &amp; Non-Standard</v>
      </c>
      <c r="E61" s="152" t="str" cm="1">
        <f t="array" ref="E61">IFERROR(_xlfn.IFS(Longlist!XW5=0,"",Longlist!XX5=#REF!,Y1,Longlist!XW5="Y",#REF!),"")</f>
        <v/>
      </c>
    </row>
    <row r="62" spans="1:5" x14ac:dyDescent="0.2">
      <c r="A62" s="221"/>
      <c r="B62" s="132" t="s">
        <v>777</v>
      </c>
      <c r="C62" s="146" t="s">
        <v>778</v>
      </c>
      <c r="D62" s="132" t="str">
        <f t="shared" si="1"/>
        <v>Standard &amp; Non-Standard</v>
      </c>
      <c r="E62" s="152" t="str">
        <f>IFERROR(IF(Longlist!ZA$5&gt;0,'Service Matrix'!#REF!,""),"")</f>
        <v/>
      </c>
    </row>
    <row r="63" spans="1:5" x14ac:dyDescent="0.2">
      <c r="A63" s="221"/>
      <c r="B63" s="132" t="s">
        <v>779</v>
      </c>
      <c r="C63" s="146" t="s">
        <v>369</v>
      </c>
      <c r="D63" s="132" t="str">
        <f t="shared" si="1"/>
        <v>Standard &amp; Non-Standard</v>
      </c>
      <c r="E63" s="152" t="str">
        <f>IFERROR(IF(Longlist!VI$5="Y",'Service Matrix'!#REF!,""),"")</f>
        <v/>
      </c>
    </row>
    <row r="64" spans="1:5" x14ac:dyDescent="0.2">
      <c r="A64" s="222"/>
      <c r="B64" s="132" t="s">
        <v>780</v>
      </c>
      <c r="C64" s="146" t="s">
        <v>781</v>
      </c>
      <c r="D64" s="132" t="str">
        <f t="shared" si="1"/>
        <v>Standard &amp; Non-Standard</v>
      </c>
      <c r="E64" s="152" t="str">
        <f>IFERROR(IF(Longlist!VL$5="Y",'Service Matrix'!#REF!,""),"")</f>
        <v/>
      </c>
    </row>
    <row r="65" spans="1:5" x14ac:dyDescent="0.2">
      <c r="A65" s="220" t="s">
        <v>782</v>
      </c>
      <c r="B65" s="132" t="s">
        <v>783</v>
      </c>
      <c r="C65" s="146" t="s">
        <v>784</v>
      </c>
      <c r="D65" s="132" t="str">
        <f t="shared" si="1"/>
        <v>Standard &amp; Non-Standard</v>
      </c>
      <c r="E65" s="152" t="str">
        <f>IFERROR(IF(Longlist!ABP$5="Y",'Service Matrix'!#REF!,""),"")</f>
        <v/>
      </c>
    </row>
    <row r="66" spans="1:5" x14ac:dyDescent="0.2">
      <c r="A66" s="221"/>
      <c r="B66" s="132" t="s">
        <v>785</v>
      </c>
      <c r="C66" s="146" t="s">
        <v>786</v>
      </c>
      <c r="D66" s="132" t="str">
        <f t="shared" si="1"/>
        <v>Standard &amp; Non-Standard</v>
      </c>
      <c r="E66" s="152" t="str">
        <f>IFERROR(IF(Longlist!ACE$5="Y",'Service Matrix'!#REF!,""),"")</f>
        <v/>
      </c>
    </row>
    <row r="67" spans="1:5" x14ac:dyDescent="0.2">
      <c r="A67" s="221"/>
      <c r="B67" s="132" t="s">
        <v>787</v>
      </c>
      <c r="C67" s="146" t="s">
        <v>788</v>
      </c>
      <c r="D67" s="132" t="str">
        <f t="shared" si="1"/>
        <v>Standard &amp; Non-Standard</v>
      </c>
      <c r="E67" s="152" t="str">
        <f>IFERROR(IF(Longlist!ACI$5="Y",'Service Matrix'!#REF!,""),"")</f>
        <v/>
      </c>
    </row>
    <row r="68" spans="1:5" x14ac:dyDescent="0.2">
      <c r="A68" s="221"/>
      <c r="B68" s="132" t="s">
        <v>789</v>
      </c>
      <c r="C68" s="146" t="s">
        <v>790</v>
      </c>
      <c r="D68" s="132" t="str">
        <f t="shared" ref="D68:D131" si="2">IF(COUNTA(E104:ON104)=0,"No Service Required",IF(AND(COUNTIF(E104:ON104,"Yes - Std")&gt;0,COUNTIF(E104:ON104,"Yes - Non-Std")=0),"Standard",IF(AND(COUNTIF(E104:ON104,"Yes - Std")=0,COUNTIF(E104:ON104,"Yes - Non-Std")&gt;0),"Non-Standard","Standard &amp; Non-Standard")))</f>
        <v>Standard &amp; Non-Standard</v>
      </c>
      <c r="E68" s="152" t="str">
        <f>IFERROR(IF(Longlist!ACL$5="Y",'Service Matrix'!#REF!,""),"")</f>
        <v/>
      </c>
    </row>
    <row r="69" spans="1:5" x14ac:dyDescent="0.2">
      <c r="A69" s="221"/>
      <c r="B69" s="132" t="s">
        <v>791</v>
      </c>
      <c r="C69" s="146" t="s">
        <v>792</v>
      </c>
      <c r="D69" s="132" t="str">
        <f t="shared" si="2"/>
        <v>Standard &amp; Non-Standard</v>
      </c>
      <c r="E69" s="152" t="str">
        <f>IFERROR(IF(Longlist!ACN$5="Y",'Service Matrix'!#REF!,""),"")</f>
        <v/>
      </c>
    </row>
    <row r="70" spans="1:5" x14ac:dyDescent="0.2">
      <c r="A70" s="221"/>
      <c r="B70" s="132" t="s">
        <v>793</v>
      </c>
      <c r="C70" s="146" t="s">
        <v>794</v>
      </c>
      <c r="D70" s="132" t="str">
        <f t="shared" si="2"/>
        <v>Standard &amp; Non-Standard</v>
      </c>
      <c r="E70" s="152" t="str">
        <f>IFERROR(IF(Longlist!ACQ$5="Y",'Service Matrix'!#REF!,""),"")</f>
        <v/>
      </c>
    </row>
    <row r="71" spans="1:5" x14ac:dyDescent="0.2">
      <c r="A71" s="221"/>
      <c r="B71" s="132" t="s">
        <v>795</v>
      </c>
      <c r="C71" s="146" t="s">
        <v>796</v>
      </c>
      <c r="D71" s="132" t="str">
        <f t="shared" si="2"/>
        <v>Standard &amp; Non-Standard</v>
      </c>
      <c r="E71" s="152" t="str">
        <f>IFERROR(IF(Longlist!ACS$5="Y",'Service Matrix'!#REF!,""),"")</f>
        <v/>
      </c>
    </row>
    <row r="72" spans="1:5" x14ac:dyDescent="0.2">
      <c r="A72" s="221"/>
      <c r="B72" s="132" t="s">
        <v>797</v>
      </c>
      <c r="C72" s="146" t="s">
        <v>798</v>
      </c>
      <c r="D72" s="132" t="str">
        <f t="shared" si="2"/>
        <v>Standard &amp; Non-Standard</v>
      </c>
      <c r="E72" s="152" t="str">
        <f>IFERROR(IF(Longlist!ACW$5="Y",'Service Matrix'!#REF!,""),"")</f>
        <v/>
      </c>
    </row>
    <row r="73" spans="1:5" x14ac:dyDescent="0.2">
      <c r="A73" s="221"/>
      <c r="B73" s="132" t="s">
        <v>799</v>
      </c>
      <c r="C73" s="146" t="s">
        <v>800</v>
      </c>
      <c r="D73" s="132" t="str">
        <f t="shared" si="2"/>
        <v>Standard &amp; Non-Standard</v>
      </c>
      <c r="E73" s="152" t="str">
        <f>IFERROR(IF(Longlist!ABS$5="Y",'Service Matrix'!#REF!,""),"")</f>
        <v/>
      </c>
    </row>
    <row r="74" spans="1:5" x14ac:dyDescent="0.2">
      <c r="A74" s="222"/>
      <c r="B74" s="132" t="s">
        <v>801</v>
      </c>
      <c r="C74" s="146" t="s">
        <v>802</v>
      </c>
      <c r="D74" s="132" t="str">
        <f t="shared" si="2"/>
        <v>Standard &amp; Non-Standard</v>
      </c>
      <c r="E74" s="152" t="str">
        <f>IFERROR(IF(Longlist!ACG$5="Y",'Service Matrix'!$Y$1,""),"")</f>
        <v/>
      </c>
    </row>
    <row r="75" spans="1:5" x14ac:dyDescent="0.2">
      <c r="A75" s="220" t="s">
        <v>803</v>
      </c>
      <c r="B75" s="132" t="s">
        <v>804</v>
      </c>
      <c r="C75" s="146" t="s">
        <v>805</v>
      </c>
      <c r="D75" s="132" t="str">
        <f t="shared" si="2"/>
        <v>Standard &amp; Non-Standard</v>
      </c>
      <c r="E75" s="152" t="str">
        <f>IFERROR(IF(Longlist!RF$5=#REF!,'Service Matrix'!#REF!,""),"")</f>
        <v/>
      </c>
    </row>
    <row r="76" spans="1:5" x14ac:dyDescent="0.2">
      <c r="A76" s="221"/>
      <c r="B76" s="132" t="s">
        <v>804</v>
      </c>
      <c r="C76" s="146" t="s">
        <v>806</v>
      </c>
      <c r="D76" s="132" t="str">
        <f t="shared" si="2"/>
        <v>Standard &amp; Non-Standard</v>
      </c>
      <c r="E76" s="152" t="str">
        <f>IFERROR(IF(Longlist!RU$5="Y",'Service Matrix'!#REF!,""),"")</f>
        <v/>
      </c>
    </row>
    <row r="77" spans="1:5" x14ac:dyDescent="0.2">
      <c r="A77" s="221"/>
      <c r="B77" s="132" t="s">
        <v>804</v>
      </c>
      <c r="C77" s="146" t="s">
        <v>807</v>
      </c>
      <c r="D77" s="132" t="str">
        <f t="shared" si="2"/>
        <v>Standard &amp; Non-Standard</v>
      </c>
      <c r="E77" s="152" t="str" cm="1">
        <f t="array" ref="E77">IFERROR(_xlfn.IFS(Longlist!SD5=0,"",Longlist!SJ5=0,"",Longlist!SD5="Y",#REF!,Longlist!SJ5="Y",#REF!),"")</f>
        <v/>
      </c>
    </row>
    <row r="78" spans="1:5" x14ac:dyDescent="0.2">
      <c r="A78" s="221"/>
      <c r="B78" s="132" t="s">
        <v>804</v>
      </c>
      <c r="C78" s="146" t="s">
        <v>808</v>
      </c>
      <c r="D78" s="132" t="str">
        <f t="shared" si="2"/>
        <v>Standard &amp; Non-Standard</v>
      </c>
      <c r="E78" s="152" t="str" cm="1">
        <f t="array" ref="E78">IFERROR(_xlfn.IFS(E75&gt;"",#REF!,E76&gt;"",#REF!),"")</f>
        <v/>
      </c>
    </row>
    <row r="79" spans="1:5" x14ac:dyDescent="0.2">
      <c r="A79" s="221"/>
      <c r="B79" s="132" t="s">
        <v>804</v>
      </c>
      <c r="C79" s="146" t="s">
        <v>809</v>
      </c>
      <c r="D79" s="132" t="str">
        <f t="shared" si="2"/>
        <v>Standard &amp; Non-Standard</v>
      </c>
      <c r="E79" s="152" t="str" cm="1">
        <f t="array" ref="E79">IFERROR(_xlfn.IFS(E75&gt;"",#REF!,E76&gt;"",#REF!),"")</f>
        <v/>
      </c>
    </row>
    <row r="80" spans="1:5" x14ac:dyDescent="0.2">
      <c r="A80" s="221"/>
      <c r="B80" s="132" t="s">
        <v>810</v>
      </c>
      <c r="C80" s="156" t="s">
        <v>811</v>
      </c>
      <c r="D80" s="132" t="str">
        <f t="shared" si="2"/>
        <v>Standard &amp; Non-Standard</v>
      </c>
      <c r="E80" s="152" t="str">
        <f>IFERROR(IF(Longlist!RS$5="Y",'Service Matrix'!#REF!,""),"")</f>
        <v/>
      </c>
    </row>
    <row r="81" spans="1:5" x14ac:dyDescent="0.2">
      <c r="A81" s="221"/>
      <c r="B81" s="132" t="s">
        <v>812</v>
      </c>
      <c r="C81" s="156" t="s">
        <v>813</v>
      </c>
      <c r="D81" s="132" t="str">
        <f t="shared" si="2"/>
        <v>Standard &amp; Non-Standard</v>
      </c>
      <c r="E81" s="152" t="str">
        <f>IFERROR(IF(Longlist!SY$5="Y",'Service Matrix'!#REF!,""),"")</f>
        <v/>
      </c>
    </row>
    <row r="82" spans="1:5" x14ac:dyDescent="0.2">
      <c r="A82" s="221"/>
      <c r="B82" s="132" t="s">
        <v>814</v>
      </c>
      <c r="C82" s="151" t="s">
        <v>815</v>
      </c>
      <c r="D82" s="132" t="str">
        <f t="shared" si="2"/>
        <v>Standard &amp; Non-Standard</v>
      </c>
      <c r="E82" s="152"/>
    </row>
    <row r="83" spans="1:5" x14ac:dyDescent="0.2">
      <c r="A83" s="221"/>
      <c r="B83" s="132" t="s">
        <v>814</v>
      </c>
      <c r="C83" s="151" t="s">
        <v>816</v>
      </c>
      <c r="D83" s="132" t="str">
        <f t="shared" si="2"/>
        <v>Standard &amp; Non-Standard</v>
      </c>
      <c r="E83" s="152"/>
    </row>
    <row r="84" spans="1:5" x14ac:dyDescent="0.2">
      <c r="A84" s="221"/>
      <c r="B84" s="132" t="s">
        <v>814</v>
      </c>
      <c r="C84" s="151" t="s">
        <v>817</v>
      </c>
      <c r="D84" s="132" t="str">
        <f t="shared" si="2"/>
        <v>Standard &amp; Non-Standard</v>
      </c>
      <c r="E84" s="152"/>
    </row>
    <row r="85" spans="1:5" x14ac:dyDescent="0.2">
      <c r="A85" s="221"/>
      <c r="B85" s="132" t="s">
        <v>818</v>
      </c>
      <c r="C85" s="156" t="s">
        <v>819</v>
      </c>
      <c r="D85" s="132" t="str">
        <f t="shared" si="2"/>
        <v>Standard &amp; Non-Standard</v>
      </c>
      <c r="E85" s="152" t="str">
        <f>IFERROR(IF(Longlist!RW$5="Y",'Service Matrix'!#REF!,""),"")</f>
        <v/>
      </c>
    </row>
    <row r="86" spans="1:5" x14ac:dyDescent="0.2">
      <c r="A86" s="221"/>
      <c r="B86" s="132" t="s">
        <v>820</v>
      </c>
      <c r="C86" s="157" t="s">
        <v>821</v>
      </c>
      <c r="D86" s="132" t="str">
        <f t="shared" si="2"/>
        <v>Standard &amp; Non-Standard</v>
      </c>
      <c r="E86" s="152" t="str" cm="1">
        <f t="array" ref="E86">IFERROR(_xlfn.IFS(E57=#REF!,#REF!,E57=Y1,#REF!,E58=#REF!,#REF!,E58=Y1,#REF!),"")</f>
        <v/>
      </c>
    </row>
    <row r="87" spans="1:5" x14ac:dyDescent="0.2">
      <c r="A87" s="221"/>
      <c r="B87" s="132" t="s">
        <v>822</v>
      </c>
      <c r="C87" s="156" t="s">
        <v>823</v>
      </c>
      <c r="D87" s="132" t="str">
        <f t="shared" si="2"/>
        <v>Standard &amp; Non-Standard</v>
      </c>
      <c r="E87" s="152" t="str">
        <f>IFERROR(IF(Longlist!TE$5=#REF!,'Service Matrix'!#REF!,""),"")</f>
        <v/>
      </c>
    </row>
    <row r="88" spans="1:5" x14ac:dyDescent="0.2">
      <c r="A88" s="221"/>
      <c r="B88" s="132" t="s">
        <v>824</v>
      </c>
      <c r="C88" s="156" t="s">
        <v>825</v>
      </c>
      <c r="D88" s="132" t="str">
        <f t="shared" si="2"/>
        <v>Standard &amp; Non-Standard</v>
      </c>
      <c r="E88" s="152" t="str">
        <f>IFERROR(IF(Longlist!TL$5=#REF!,'Service Matrix'!#REF!,""),"")</f>
        <v/>
      </c>
    </row>
    <row r="89" spans="1:5" x14ac:dyDescent="0.2">
      <c r="A89" s="221"/>
      <c r="B89" s="132" t="s">
        <v>826</v>
      </c>
      <c r="C89" s="157" t="s">
        <v>827</v>
      </c>
      <c r="D89" s="132" t="str">
        <f t="shared" si="2"/>
        <v>No Service Required</v>
      </c>
      <c r="E89" s="152"/>
    </row>
    <row r="90" spans="1:5" x14ac:dyDescent="0.2">
      <c r="A90" s="221"/>
      <c r="B90" s="132" t="s">
        <v>828</v>
      </c>
      <c r="C90" s="156" t="s">
        <v>829</v>
      </c>
      <c r="D90" s="132" t="str">
        <f t="shared" si="2"/>
        <v>Standard &amp; Non-Standard</v>
      </c>
      <c r="E90" s="152" t="str">
        <f>IFERROR(IF(Longlist!RO$5="Y",'Service Matrix'!#REF!,""),"")</f>
        <v/>
      </c>
    </row>
    <row r="91" spans="1:5" x14ac:dyDescent="0.2">
      <c r="A91" s="221"/>
      <c r="B91" s="132" t="s">
        <v>830</v>
      </c>
      <c r="C91" s="156" t="s">
        <v>831</v>
      </c>
      <c r="D91" s="132" t="str">
        <f t="shared" si="2"/>
        <v>Standard &amp; Non-Standard</v>
      </c>
      <c r="E91" s="152" t="str">
        <f>IFERROR(IF(Longlist!RG$5="Y",'Service Matrix'!#REF!,""),"")</f>
        <v/>
      </c>
    </row>
    <row r="92" spans="1:5" x14ac:dyDescent="0.2">
      <c r="A92" s="221"/>
      <c r="B92" s="132" t="s">
        <v>832</v>
      </c>
      <c r="C92" s="156" t="s">
        <v>313</v>
      </c>
      <c r="D92" s="132" t="str">
        <f t="shared" si="2"/>
        <v>Standard &amp; Non-Standard</v>
      </c>
      <c r="E92" s="152" t="str">
        <f>IFERROR(IF(Longlist!SH$5="Y",'Service Matrix'!#REF!,""),"")</f>
        <v/>
      </c>
    </row>
    <row r="93" spans="1:5" x14ac:dyDescent="0.2">
      <c r="A93" s="221"/>
      <c r="B93" s="132" t="s">
        <v>833</v>
      </c>
      <c r="C93" s="156" t="s">
        <v>314</v>
      </c>
      <c r="D93" s="132" t="str">
        <f t="shared" si="2"/>
        <v>Standard &amp; Non-Standard</v>
      </c>
      <c r="E93" s="152" t="str">
        <f>IFERROR(IF(Longlist!SJ$5="Y",'Service Matrix'!#REF!,""),"")</f>
        <v/>
      </c>
    </row>
    <row r="94" spans="1:5" x14ac:dyDescent="0.2">
      <c r="A94" s="221"/>
      <c r="B94" s="132" t="s">
        <v>834</v>
      </c>
      <c r="C94" s="156" t="s">
        <v>315</v>
      </c>
      <c r="D94" s="132" t="str">
        <f t="shared" si="2"/>
        <v>Standard &amp; Non-Standard</v>
      </c>
      <c r="E94" s="152" t="str">
        <f>IFERROR(IF(Longlist!SL$5="Y",'Service Matrix'!#REF!,""),"")</f>
        <v/>
      </c>
    </row>
    <row r="95" spans="1:5" x14ac:dyDescent="0.2">
      <c r="A95" s="221"/>
      <c r="B95" s="132" t="s">
        <v>835</v>
      </c>
      <c r="C95" s="156" t="s">
        <v>317</v>
      </c>
      <c r="D95" s="132" t="str">
        <f t="shared" si="2"/>
        <v>Standard &amp; Non-Standard</v>
      </c>
      <c r="E95" s="152" t="str">
        <f>IFERROR(IF(Longlist!SN$5="Y",'Service Matrix'!#REF!,""),"")</f>
        <v/>
      </c>
    </row>
    <row r="96" spans="1:5" x14ac:dyDescent="0.2">
      <c r="A96" s="221"/>
      <c r="B96" s="132" t="s">
        <v>836</v>
      </c>
      <c r="C96" s="156" t="s">
        <v>837</v>
      </c>
      <c r="D96" s="132" t="str">
        <f t="shared" si="2"/>
        <v>Standard &amp; Non-Standard</v>
      </c>
      <c r="E96" s="152" t="str" cm="1">
        <f t="array" ref="E96">IFERROR(_xlfn.IFS(Longlist!WE5=0,"",Longlist!WH5="Y",Y1,Longlist!WE5='Service Matrix'!#REF!,'Service Matrix'!#REF!),"")</f>
        <v/>
      </c>
    </row>
    <row r="97" spans="1:5" x14ac:dyDescent="0.2">
      <c r="A97" s="221"/>
      <c r="B97" s="132" t="s">
        <v>838</v>
      </c>
      <c r="C97" s="156" t="s">
        <v>318</v>
      </c>
      <c r="D97" s="132" t="str">
        <f t="shared" si="2"/>
        <v>Standard &amp; Non-Standard</v>
      </c>
      <c r="E97" s="152" t="str">
        <f>IFERROR(IF(Longlist!SP$5="Y",'Service Matrix'!#REF!,""),"")</f>
        <v/>
      </c>
    </row>
    <row r="98" spans="1:5" x14ac:dyDescent="0.2">
      <c r="A98" s="222"/>
      <c r="B98" s="132" t="s">
        <v>839</v>
      </c>
      <c r="C98" s="156" t="s">
        <v>319</v>
      </c>
      <c r="D98" s="132" t="str">
        <f t="shared" si="2"/>
        <v>Standard &amp; Non-Standard</v>
      </c>
      <c r="E98" s="152" t="str">
        <f>IFERROR(IF(Longlist!SR$5="Y",'Service Matrix'!#REF!,""),"")</f>
        <v/>
      </c>
    </row>
    <row r="99" spans="1:5" x14ac:dyDescent="0.2">
      <c r="A99" s="220" t="s">
        <v>840</v>
      </c>
      <c r="B99" s="132" t="s">
        <v>841</v>
      </c>
      <c r="C99" s="146" t="s">
        <v>344</v>
      </c>
      <c r="D99" s="132" t="str">
        <f t="shared" si="2"/>
        <v>Standard &amp; Non-Standard</v>
      </c>
      <c r="E99" s="152" t="str">
        <f>IFERROR(IF(Longlist!UH$5="Y",'Service Matrix'!#REF!,""),"")</f>
        <v/>
      </c>
    </row>
    <row r="100" spans="1:5" x14ac:dyDescent="0.2">
      <c r="A100" s="221"/>
      <c r="B100" s="132" t="s">
        <v>842</v>
      </c>
      <c r="C100" s="146" t="s">
        <v>345</v>
      </c>
      <c r="D100" s="132" t="str">
        <f t="shared" si="2"/>
        <v>Standard &amp; Non-Standard</v>
      </c>
      <c r="E100" s="152" t="str">
        <f>IFERROR(IF(Longlist!UI$5="Y",'Service Matrix'!#REF!,""),"")</f>
        <v/>
      </c>
    </row>
    <row r="101" spans="1:5" x14ac:dyDescent="0.2">
      <c r="A101" s="221"/>
      <c r="B101" s="132" t="s">
        <v>843</v>
      </c>
      <c r="C101" s="146" t="s">
        <v>346</v>
      </c>
      <c r="D101" s="132" t="str">
        <f t="shared" si="2"/>
        <v>Standard &amp; Non-Standard</v>
      </c>
      <c r="E101" s="152" t="str">
        <f>IFERROR(IF(Longlist!UJ$5="Y",'Service Matrix'!#REF!,""),"")</f>
        <v/>
      </c>
    </row>
    <row r="102" spans="1:5" x14ac:dyDescent="0.2">
      <c r="A102" s="221"/>
      <c r="B102" s="132" t="s">
        <v>844</v>
      </c>
      <c r="C102" s="146" t="s">
        <v>845</v>
      </c>
      <c r="D102" s="132" t="str">
        <f t="shared" si="2"/>
        <v>Standard &amp; Non-Standard</v>
      </c>
      <c r="E102" s="152" t="str">
        <f>IFERROR(IF(Longlist!RI$5="Y",'Service Matrix'!#REF!,""),"")</f>
        <v/>
      </c>
    </row>
    <row r="103" spans="1:5" x14ac:dyDescent="0.2">
      <c r="A103" s="221"/>
      <c r="B103" s="132" t="s">
        <v>846</v>
      </c>
      <c r="C103" s="146" t="s">
        <v>347</v>
      </c>
      <c r="D103" s="132" t="str">
        <f t="shared" si="2"/>
        <v>Standard &amp; Non-Standard</v>
      </c>
      <c r="E103" s="152" t="str">
        <f>IFERROR(IF(Longlist!UK$5="Y",'Service Matrix'!#REF!,""),"")</f>
        <v/>
      </c>
    </row>
    <row r="104" spans="1:5" x14ac:dyDescent="0.2">
      <c r="A104" s="221"/>
      <c r="B104" s="132" t="s">
        <v>847</v>
      </c>
      <c r="C104" s="146" t="s">
        <v>348</v>
      </c>
      <c r="D104" s="132" t="str">
        <f t="shared" si="2"/>
        <v>Standard &amp; Non-Standard</v>
      </c>
      <c r="E104" s="152" t="str">
        <f>IFERROR(IF(Longlist!UL$5="Y",'Service Matrix'!#REF!,""),"")</f>
        <v/>
      </c>
    </row>
    <row r="105" spans="1:5" x14ac:dyDescent="0.2">
      <c r="A105" s="221"/>
      <c r="B105" s="132" t="s">
        <v>848</v>
      </c>
      <c r="C105" s="146" t="s">
        <v>849</v>
      </c>
      <c r="D105" s="132" t="str">
        <f t="shared" si="2"/>
        <v>Standard &amp; Non-Standard</v>
      </c>
      <c r="E105" s="152" t="str">
        <f>IFERROR(IF(Longlist!VG$5="Y",'Service Matrix'!#REF!,""),"")</f>
        <v/>
      </c>
    </row>
    <row r="106" spans="1:5" x14ac:dyDescent="0.2">
      <c r="A106" s="221"/>
      <c r="B106" s="132" t="s">
        <v>850</v>
      </c>
      <c r="C106" s="146" t="s">
        <v>851</v>
      </c>
      <c r="D106" s="132" t="str">
        <f t="shared" si="2"/>
        <v>Standard &amp; Non-Standard</v>
      </c>
      <c r="E106" s="152" t="str">
        <f>IFERROR(IF('Health &amp; Safety'!D40="Y",'Service Matrix'!#REF!,""),"")</f>
        <v/>
      </c>
    </row>
    <row r="107" spans="1:5" x14ac:dyDescent="0.2">
      <c r="A107" s="221"/>
      <c r="B107" s="132" t="s">
        <v>852</v>
      </c>
      <c r="C107" s="146" t="s">
        <v>853</v>
      </c>
      <c r="D107" s="132" t="str">
        <f t="shared" si="2"/>
        <v>Standard &amp; Non-Standard</v>
      </c>
      <c r="E107" s="152" t="str">
        <f>IFERROR(IF(Longlist!UY5="Y",'Service Matrix'!#REF!,""),"")</f>
        <v/>
      </c>
    </row>
    <row r="108" spans="1:5" x14ac:dyDescent="0.2">
      <c r="A108" s="221"/>
      <c r="B108" s="132" t="s">
        <v>854</v>
      </c>
      <c r="C108" s="146" t="s">
        <v>361</v>
      </c>
      <c r="D108" s="132" t="str">
        <f t="shared" si="2"/>
        <v>Standard &amp; Non-Standard</v>
      </c>
      <c r="E108" s="152" t="str">
        <f>IFERROR(IF(E103=#REF!,#REF!,""),"")</f>
        <v/>
      </c>
    </row>
    <row r="109" spans="1:5" x14ac:dyDescent="0.2">
      <c r="A109" s="221"/>
      <c r="B109" s="132" t="s">
        <v>855</v>
      </c>
      <c r="C109" s="146" t="s">
        <v>856</v>
      </c>
      <c r="D109" s="132" t="str">
        <f t="shared" si="2"/>
        <v>Standard &amp; Non-Standard</v>
      </c>
      <c r="E109" s="152" t="str">
        <f>IFERROR(IF(E103=#REF!,#REF!,""),"")</f>
        <v/>
      </c>
    </row>
    <row r="110" spans="1:5" x14ac:dyDescent="0.2">
      <c r="A110" s="221"/>
      <c r="B110" s="132" t="s">
        <v>857</v>
      </c>
      <c r="C110" s="146" t="s">
        <v>365</v>
      </c>
      <c r="D110" s="132" t="str">
        <f t="shared" si="2"/>
        <v>Standard &amp; Non-Standard</v>
      </c>
      <c r="E110" s="152" t="str">
        <f>IFERROR(IF(Longlist!VE$5="Y",'Service Matrix'!#REF!,""),"")</f>
        <v/>
      </c>
    </row>
    <row r="111" spans="1:5" x14ac:dyDescent="0.2">
      <c r="A111" s="221"/>
      <c r="B111" s="132" t="s">
        <v>858</v>
      </c>
      <c r="C111" s="146" t="s">
        <v>859</v>
      </c>
      <c r="D111" s="132" t="str">
        <f t="shared" si="2"/>
        <v>Standard &amp; Non-Standard</v>
      </c>
      <c r="E111" s="152" t="str">
        <f>IFERROR(IF(Longlist!UZ$5="Y",'Service Matrix'!#REF!,""),"")</f>
        <v/>
      </c>
    </row>
    <row r="112" spans="1:5" x14ac:dyDescent="0.2">
      <c r="A112" s="221"/>
      <c r="B112" s="132" t="s">
        <v>860</v>
      </c>
      <c r="C112" s="146" t="s">
        <v>349</v>
      </c>
      <c r="D112" s="132" t="str">
        <f t="shared" si="2"/>
        <v>Standard &amp; Non-Standard</v>
      </c>
      <c r="E112" s="152" t="str">
        <f>IFERROR(IF(Longlist!UM$5="Y",'Service Matrix'!#REF!,""),"")</f>
        <v/>
      </c>
    </row>
    <row r="113" spans="1:5" x14ac:dyDescent="0.2">
      <c r="A113" s="221"/>
      <c r="B113" s="132" t="s">
        <v>861</v>
      </c>
      <c r="C113" s="146" t="s">
        <v>862</v>
      </c>
      <c r="D113" s="132" t="str">
        <f t="shared" si="2"/>
        <v>Standard &amp; Non-Standard</v>
      </c>
      <c r="E113" s="152" t="str">
        <f>IFERROR(IF(Longlist!WK$5="Y",'Service Matrix'!#REF!,""),"")</f>
        <v/>
      </c>
    </row>
    <row r="114" spans="1:5" x14ac:dyDescent="0.2">
      <c r="A114" s="222"/>
      <c r="B114" s="132" t="s">
        <v>863</v>
      </c>
      <c r="C114" s="146" t="s">
        <v>864</v>
      </c>
      <c r="D114" s="132" t="str">
        <f t="shared" si="2"/>
        <v>Standard &amp; Non-Standard</v>
      </c>
      <c r="E114" s="152" t="str">
        <f>IFERROR(IF(Longlist!ABK5="Y",'Service Matrix'!Y1,""),"")</f>
        <v/>
      </c>
    </row>
    <row r="115" spans="1:5" x14ac:dyDescent="0.2">
      <c r="A115" s="220" t="s">
        <v>865</v>
      </c>
      <c r="B115" s="132" t="s">
        <v>866</v>
      </c>
      <c r="C115" s="146" t="s">
        <v>867</v>
      </c>
      <c r="D115" s="132" t="str">
        <f t="shared" si="2"/>
        <v>Standard &amp; Non-Standard</v>
      </c>
      <c r="E115" s="152" t="str">
        <f>IFERROR(IF(Longlist!TX$5="Y",'Service Matrix'!#REF!,""),"")</f>
        <v/>
      </c>
    </row>
    <row r="116" spans="1:5" x14ac:dyDescent="0.2">
      <c r="A116" s="221"/>
      <c r="B116" s="132" t="s">
        <v>868</v>
      </c>
      <c r="C116" s="146" t="s">
        <v>869</v>
      </c>
      <c r="D116" s="132" t="str">
        <f t="shared" si="2"/>
        <v>Standard &amp; Non-Standard</v>
      </c>
      <c r="E116" s="152" t="str" cm="1">
        <f t="array" ref="E116">IFERROR(_xlfn.IFS(Longlist!UC5="Y",'Service Matrix'!#REF!,Longlist!UB5="Y",'Service Matrix'!#REF!,Longlist!UB5=0,""),"")</f>
        <v/>
      </c>
    </row>
    <row r="117" spans="1:5" x14ac:dyDescent="0.2">
      <c r="A117" s="221"/>
      <c r="B117" s="132" t="s">
        <v>870</v>
      </c>
      <c r="C117" s="146" t="s">
        <v>871</v>
      </c>
      <c r="D117" s="132" t="str">
        <f t="shared" si="2"/>
        <v>Standard &amp; Non-Standard</v>
      </c>
      <c r="E117" s="152" t="str">
        <f>IFERROR(IF(Longlist!UF$5="Y",'Service Matrix'!#REF!,""),"")</f>
        <v/>
      </c>
    </row>
    <row r="118" spans="1:5" x14ac:dyDescent="0.2">
      <c r="A118" s="221"/>
      <c r="B118" s="132" t="s">
        <v>872</v>
      </c>
      <c r="C118" s="146" t="s">
        <v>873</v>
      </c>
      <c r="D118" s="132" t="str">
        <f t="shared" si="2"/>
        <v>Standard &amp; Non-Standard</v>
      </c>
      <c r="E118" s="152" t="str">
        <f>IFERROR(IF(Longlist!QE$5="Y",'Service Matrix'!#REF!,""),"")</f>
        <v/>
      </c>
    </row>
    <row r="119" spans="1:5" x14ac:dyDescent="0.2">
      <c r="A119" s="222"/>
      <c r="B119" s="132" t="s">
        <v>874</v>
      </c>
      <c r="C119" s="146" t="s">
        <v>333</v>
      </c>
      <c r="D119" s="132" t="str">
        <f t="shared" si="2"/>
        <v>Standard &amp; Non-Standard</v>
      </c>
      <c r="E119" s="152" t="str">
        <f>IFERROR(IF(Longlist!TV$5="Y",'Service Matrix'!#REF!,""),"")</f>
        <v/>
      </c>
    </row>
    <row r="120" spans="1:5" x14ac:dyDescent="0.2">
      <c r="A120" s="220" t="s">
        <v>875</v>
      </c>
      <c r="B120" s="132" t="s">
        <v>876</v>
      </c>
      <c r="C120" s="146" t="s">
        <v>454</v>
      </c>
      <c r="D120" s="132" t="str">
        <f t="shared" si="2"/>
        <v>No Service Required</v>
      </c>
      <c r="E120" s="152" t="str" cm="1">
        <f t="array" ref="E120">IFERROR(_xlfn.IFS(Longlist!AAU5="Y",'Service Matrix'!Y1,Longlist!AAV5="Y",'Service Matrix'!Y1,Longlist!AAX5="Y",'Service Matrix'!Y1,Longlist!AAT5=0,"",Longlist!AAT5="Y",'Service Matrix'!#REF!),"")</f>
        <v/>
      </c>
    </row>
    <row r="121" spans="1:5" x14ac:dyDescent="0.2">
      <c r="A121" s="221"/>
      <c r="B121" s="132" t="s">
        <v>877</v>
      </c>
      <c r="C121" s="146" t="s">
        <v>878</v>
      </c>
      <c r="D121" s="132" t="str">
        <f t="shared" si="2"/>
        <v>No Service Required</v>
      </c>
      <c r="E121" s="152" t="str">
        <f>IFERROR(IF(Longlist!PF$5="Y",'Service Matrix'!#REF!,""),"")</f>
        <v/>
      </c>
    </row>
    <row r="122" spans="1:5" x14ac:dyDescent="0.2">
      <c r="A122" s="221"/>
      <c r="B122" s="132" t="s">
        <v>879</v>
      </c>
      <c r="C122" s="146" t="s">
        <v>880</v>
      </c>
      <c r="D122" s="132" t="str">
        <f t="shared" si="2"/>
        <v>No Service Required</v>
      </c>
      <c r="E122" s="152" t="str">
        <f>IFERROR(IF(Longlist!TZ$5="Y",'Service Matrix'!#REF!,""),"")</f>
        <v/>
      </c>
    </row>
    <row r="123" spans="1:5" x14ac:dyDescent="0.2">
      <c r="A123" s="221"/>
      <c r="B123" s="132" t="s">
        <v>881</v>
      </c>
      <c r="C123" s="146" t="s">
        <v>451</v>
      </c>
      <c r="D123" s="132" t="str">
        <f t="shared" si="2"/>
        <v>No Service Required</v>
      </c>
      <c r="E123" s="152" t="str">
        <f>IFERROR(IF(Longlist!AAQ$5="Y",'Service Matrix'!#REF!,""),"")</f>
        <v/>
      </c>
    </row>
    <row r="124" spans="1:5" x14ac:dyDescent="0.2">
      <c r="A124" s="221"/>
      <c r="B124" s="132" t="s">
        <v>882</v>
      </c>
      <c r="C124" s="146" t="s">
        <v>460</v>
      </c>
      <c r="D124" s="132" t="str">
        <f t="shared" si="2"/>
        <v>No Service Required</v>
      </c>
      <c r="E124" s="152" t="str">
        <f>IFERROR(IF(Longlist!AAZ$5="Y",'Service Matrix'!#REF!,""),"")</f>
        <v/>
      </c>
    </row>
    <row r="125" spans="1:5" x14ac:dyDescent="0.2">
      <c r="A125" s="221"/>
      <c r="B125" s="132" t="s">
        <v>883</v>
      </c>
      <c r="C125" s="154" t="s">
        <v>884</v>
      </c>
      <c r="D125" s="132" t="str">
        <f t="shared" si="2"/>
        <v>No Service Required</v>
      </c>
      <c r="E125" s="152"/>
    </row>
    <row r="126" spans="1:5" x14ac:dyDescent="0.2">
      <c r="A126" s="221"/>
      <c r="B126" s="132" t="s">
        <v>885</v>
      </c>
      <c r="C126" s="146" t="s">
        <v>886</v>
      </c>
      <c r="D126" s="132" t="str">
        <f t="shared" si="2"/>
        <v>No Service Required</v>
      </c>
      <c r="E126" s="152" t="str">
        <f>IFERROR(IF(Longlist!UA$5="Y",'Service Matrix'!#REF!,""),"")</f>
        <v/>
      </c>
    </row>
    <row r="127" spans="1:5" x14ac:dyDescent="0.2">
      <c r="A127" s="221"/>
      <c r="B127" s="132" t="s">
        <v>887</v>
      </c>
      <c r="C127" s="146" t="s">
        <v>466</v>
      </c>
      <c r="D127" s="132" t="str">
        <f t="shared" si="2"/>
        <v>No Service Required</v>
      </c>
      <c r="E127" s="152" t="str">
        <f>IFERROR(IF(Longlist!ADG$5="Y",'Service Matrix'!#REF!,""),"")</f>
        <v/>
      </c>
    </row>
    <row r="128" spans="1:5" x14ac:dyDescent="0.2">
      <c r="A128" s="221"/>
      <c r="B128" s="132" t="s">
        <v>888</v>
      </c>
      <c r="C128" s="146" t="s">
        <v>889</v>
      </c>
      <c r="D128" s="132" t="str">
        <f t="shared" si="2"/>
        <v>No Service Required</v>
      </c>
      <c r="E128" s="152" t="str">
        <f>IFERROR(IF(Longlist!ABF$5="Y",'Service Matrix'!#REF!,""),"")</f>
        <v/>
      </c>
    </row>
    <row r="129" spans="1:5" x14ac:dyDescent="0.2">
      <c r="A129" s="221"/>
      <c r="B129" s="132" t="s">
        <v>890</v>
      </c>
      <c r="C129" s="146" t="s">
        <v>467</v>
      </c>
      <c r="D129" s="132" t="str">
        <f t="shared" si="2"/>
        <v>No Service Required</v>
      </c>
      <c r="E129" s="152" t="str">
        <f>IFERROR(IF(Longlist!ABG$5="Y",'Service Matrix'!#REF!,""),"")</f>
        <v/>
      </c>
    </row>
    <row r="130" spans="1:5" x14ac:dyDescent="0.2">
      <c r="A130" s="221"/>
      <c r="B130" s="132" t="s">
        <v>891</v>
      </c>
      <c r="C130" s="146" t="s">
        <v>892</v>
      </c>
      <c r="D130" s="132" t="str">
        <f t="shared" si="2"/>
        <v>No Service Required</v>
      </c>
      <c r="E130" s="152" t="str">
        <f>IFERROR(IF(Longlist!ABA$5="Y",'Service Matrix'!#REF!,""),"")</f>
        <v/>
      </c>
    </row>
    <row r="131" spans="1:5" x14ac:dyDescent="0.2">
      <c r="A131" s="221"/>
      <c r="B131" s="132" t="s">
        <v>893</v>
      </c>
      <c r="C131" s="146" t="s">
        <v>894</v>
      </c>
      <c r="D131" s="132" t="str">
        <f t="shared" si="2"/>
        <v>No Service Required</v>
      </c>
      <c r="E131" s="152" t="str">
        <f>IFERROR(IF(Longlist!AAN$5="Y",'Service Matrix'!#REF!,""),"")</f>
        <v/>
      </c>
    </row>
    <row r="132" spans="1:5" x14ac:dyDescent="0.2">
      <c r="A132" s="221"/>
      <c r="B132" s="132" t="s">
        <v>895</v>
      </c>
      <c r="C132" s="146" t="s">
        <v>896</v>
      </c>
      <c r="D132" s="132" t="str">
        <f t="shared" ref="D132:D178" si="3">IF(COUNTA(E168:ON168)=0,"No Service Required",IF(AND(COUNTIF(E168:ON168,"Yes - Std")&gt;0,COUNTIF(E168:ON168,"Yes - Non-Std")=0),"Standard",IF(AND(COUNTIF(E168:ON168,"Yes - Std")=0,COUNTIF(E168:ON168,"Yes - Non-Std")&gt;0),"Non-Standard","Standard &amp; Non-Standard")))</f>
        <v>No Service Required</v>
      </c>
      <c r="E132" s="152" t="str">
        <f>IFERROR(IF(Longlist!ABC$5="Y",'Service Matrix'!#REF!,""),"")</f>
        <v/>
      </c>
    </row>
    <row r="133" spans="1:5" x14ac:dyDescent="0.2">
      <c r="A133" s="221"/>
      <c r="B133" s="132" t="s">
        <v>897</v>
      </c>
      <c r="C133" s="146" t="s">
        <v>898</v>
      </c>
      <c r="D133" s="132" t="str">
        <f t="shared" si="3"/>
        <v>No Service Required</v>
      </c>
      <c r="E133" s="152" t="str">
        <f>IFERROR(IF(Longlist!EL$5="Y",'Service Matrix'!#REF!,""),"")</f>
        <v/>
      </c>
    </row>
    <row r="134" spans="1:5" x14ac:dyDescent="0.2">
      <c r="A134" s="222"/>
      <c r="B134" s="132" t="s">
        <v>899</v>
      </c>
      <c r="C134" s="146" t="s">
        <v>468</v>
      </c>
      <c r="D134" s="132" t="str">
        <f t="shared" si="3"/>
        <v>No Service Required</v>
      </c>
      <c r="E134" s="152" t="str">
        <f>IFERROR(IF(Longlist!ABI$5="Y",'Service Matrix'!#REF!,""),"")</f>
        <v/>
      </c>
    </row>
    <row r="135" spans="1:5" x14ac:dyDescent="0.2">
      <c r="A135" s="220" t="s">
        <v>900</v>
      </c>
      <c r="B135" s="132" t="s">
        <v>901</v>
      </c>
      <c r="C135" s="156" t="s">
        <v>495</v>
      </c>
      <c r="D135" s="132" t="str">
        <f t="shared" si="3"/>
        <v>No Service Required</v>
      </c>
      <c r="E135" s="152" t="str">
        <f>IFERROR(IF(Longlist!ADG$5="Y",'Service Matrix'!#REF!,""),"")</f>
        <v/>
      </c>
    </row>
    <row r="136" spans="1:5" x14ac:dyDescent="0.2">
      <c r="A136" s="221"/>
      <c r="B136" s="132" t="s">
        <v>902</v>
      </c>
      <c r="C136" s="156" t="s">
        <v>903</v>
      </c>
      <c r="D136" s="132" t="str">
        <f t="shared" si="3"/>
        <v>No Service Required</v>
      </c>
      <c r="E136" s="152" t="str">
        <f>IFERROR(IF(Longlist!ADI$5="Y",'Service Matrix'!#REF!,""),"")</f>
        <v/>
      </c>
    </row>
    <row r="137" spans="1:5" x14ac:dyDescent="0.2">
      <c r="A137" s="221"/>
      <c r="B137" s="132" t="s">
        <v>904</v>
      </c>
      <c r="C137" s="146" t="s">
        <v>497</v>
      </c>
      <c r="D137" s="132" t="str">
        <f t="shared" si="3"/>
        <v>No Service Required</v>
      </c>
      <c r="E137" s="152" t="str">
        <f>IFERROR(IF(Longlist!ADJ$5="Y",'Service Matrix'!#REF!,""),"")</f>
        <v/>
      </c>
    </row>
    <row r="138" spans="1:5" x14ac:dyDescent="0.2">
      <c r="A138" s="221"/>
      <c r="B138" s="132" t="s">
        <v>905</v>
      </c>
      <c r="C138" s="146" t="s">
        <v>906</v>
      </c>
      <c r="D138" s="132" t="str">
        <f t="shared" si="3"/>
        <v>No Service Required</v>
      </c>
      <c r="E138" s="152" t="str">
        <f>IFERROR(IF(Longlist!ADN$5="Y",'Service Matrix'!#REF!,""),"")</f>
        <v/>
      </c>
    </row>
    <row r="139" spans="1:5" x14ac:dyDescent="0.2">
      <c r="A139" s="221"/>
      <c r="B139" s="132" t="s">
        <v>907</v>
      </c>
      <c r="C139" s="146" t="s">
        <v>512</v>
      </c>
      <c r="D139" s="132" t="str">
        <f t="shared" si="3"/>
        <v>No Service Required</v>
      </c>
      <c r="E139" s="152" t="str">
        <f>IFERROR(IF(Longlist!AEX$5="Y",'Service Matrix'!#REF!,""),"")</f>
        <v/>
      </c>
    </row>
    <row r="140" spans="1:5" x14ac:dyDescent="0.2">
      <c r="A140" s="221"/>
      <c r="B140" s="132" t="s">
        <v>908</v>
      </c>
      <c r="C140" s="146" t="s">
        <v>909</v>
      </c>
      <c r="D140" s="132" t="str">
        <f t="shared" si="3"/>
        <v>Standard &amp; Non-Standard</v>
      </c>
      <c r="E140" s="152" t="str">
        <f>IFERROR(IF(Longlist!AEZ$5="Y",'Service Matrix'!#REF!,""),"")</f>
        <v/>
      </c>
    </row>
    <row r="141" spans="1:5" x14ac:dyDescent="0.2">
      <c r="A141" s="221"/>
      <c r="B141" s="132" t="s">
        <v>910</v>
      </c>
      <c r="C141" s="146" t="s">
        <v>519</v>
      </c>
      <c r="D141" s="132" t="str">
        <f t="shared" si="3"/>
        <v>Standard &amp; Non-Standard</v>
      </c>
      <c r="E141" s="152" t="str">
        <f>IFERROR(IF(Longlist!AFE$5="Y",'Service Matrix'!#REF!,""),"")</f>
        <v/>
      </c>
    </row>
    <row r="142" spans="1:5" x14ac:dyDescent="0.2">
      <c r="A142" s="222"/>
      <c r="B142" s="132" t="s">
        <v>911</v>
      </c>
      <c r="C142" s="146" t="s">
        <v>522</v>
      </c>
      <c r="D142" s="132" t="str">
        <f t="shared" si="3"/>
        <v>Standard &amp; Non-Standard</v>
      </c>
      <c r="E142" s="152" t="str">
        <f>IFERROR(IF(Longlist!AFI$5="Y",'Service Matrix'!#REF!,""),"")</f>
        <v/>
      </c>
    </row>
    <row r="143" spans="1:5" x14ac:dyDescent="0.2">
      <c r="A143" s="220" t="s">
        <v>912</v>
      </c>
      <c r="B143" s="132" t="s">
        <v>913</v>
      </c>
      <c r="C143" s="146" t="s">
        <v>380</v>
      </c>
      <c r="D143" s="132" t="str">
        <f t="shared" si="3"/>
        <v>No Service Required</v>
      </c>
      <c r="E143" s="152" t="str">
        <f>IFERROR(IF(Longlist!WA$5="Y",'Service Matrix'!#REF!,""),"")</f>
        <v/>
      </c>
    </row>
    <row r="144" spans="1:5" x14ac:dyDescent="0.2">
      <c r="A144" s="221"/>
      <c r="B144" s="132" t="s">
        <v>914</v>
      </c>
      <c r="C144" s="146" t="s">
        <v>915</v>
      </c>
      <c r="D144" s="132" t="str">
        <f t="shared" si="3"/>
        <v>No Service Required</v>
      </c>
      <c r="E144" s="155" t="str">
        <f>IFERROR(IF(Longlist!ST5="Y",'Service Matrix'!#REF!,""),"")</f>
        <v/>
      </c>
    </row>
    <row r="145" spans="1:5" x14ac:dyDescent="0.2">
      <c r="A145" s="221"/>
      <c r="B145" s="132" t="s">
        <v>916</v>
      </c>
      <c r="C145" s="146" t="s">
        <v>917</v>
      </c>
      <c r="D145" s="132" t="str">
        <f t="shared" si="3"/>
        <v>No Service Required</v>
      </c>
      <c r="E145" s="152" t="str">
        <f>IFERROR(IF(Longlist!UN$5="Y",'Service Matrix'!#REF!,""),"")</f>
        <v/>
      </c>
    </row>
    <row r="146" spans="1:5" x14ac:dyDescent="0.2">
      <c r="A146" s="221"/>
      <c r="B146" s="132" t="s">
        <v>918</v>
      </c>
      <c r="C146" s="146" t="s">
        <v>919</v>
      </c>
      <c r="D146" s="132" t="str">
        <f t="shared" si="3"/>
        <v>No Service Required</v>
      </c>
      <c r="E146" s="152" t="str">
        <f>IFERROR(IF(Longlist!UT$5="Y",'Service Matrix'!#REF!,""),"")</f>
        <v/>
      </c>
    </row>
    <row r="147" spans="1:5" x14ac:dyDescent="0.2">
      <c r="A147" s="221"/>
      <c r="B147" s="132" t="s">
        <v>920</v>
      </c>
      <c r="C147" s="146" t="s">
        <v>921</v>
      </c>
      <c r="D147" s="132" t="str">
        <f t="shared" si="3"/>
        <v>No Service Required</v>
      </c>
      <c r="E147" s="152" t="str">
        <f>IFERROR(IF(Longlist!VF$5="Y",'Service Matrix'!#REF!,""),"")</f>
        <v/>
      </c>
    </row>
    <row r="148" spans="1:5" x14ac:dyDescent="0.2">
      <c r="A148" s="221"/>
      <c r="B148" s="132" t="s">
        <v>922</v>
      </c>
      <c r="C148" s="146" t="s">
        <v>923</v>
      </c>
      <c r="D148" s="132" t="str">
        <f t="shared" si="3"/>
        <v>No Service Required</v>
      </c>
      <c r="E148" s="152" t="str">
        <f>IFERROR(IF(Longlist!VH$5="Y",'Service Matrix'!#REF!,""),"")</f>
        <v/>
      </c>
    </row>
    <row r="149" spans="1:5" x14ac:dyDescent="0.2">
      <c r="A149" s="221"/>
      <c r="B149" s="132" t="s">
        <v>924</v>
      </c>
      <c r="C149" s="146" t="s">
        <v>375</v>
      </c>
      <c r="D149" s="132" t="str">
        <f t="shared" si="3"/>
        <v>No Service Required</v>
      </c>
      <c r="E149" s="152" t="str">
        <f>IFERROR(IF(Longlist!VQ$5="Y",'Service Matrix'!#REF!,""),"")</f>
        <v/>
      </c>
    </row>
    <row r="150" spans="1:5" x14ac:dyDescent="0.2">
      <c r="A150" s="221"/>
      <c r="B150" s="132" t="s">
        <v>925</v>
      </c>
      <c r="C150" s="146" t="s">
        <v>926</v>
      </c>
      <c r="D150" s="132" t="str">
        <f t="shared" si="3"/>
        <v>No Service Required</v>
      </c>
      <c r="E150" s="152" t="str">
        <f>IFERROR(IF(Longlist!VS$5="Y",'Service Matrix'!#REF!,""),"")</f>
        <v/>
      </c>
    </row>
    <row r="151" spans="1:5" x14ac:dyDescent="0.2">
      <c r="A151" s="221"/>
      <c r="B151" s="132" t="s">
        <v>927</v>
      </c>
      <c r="C151" s="146" t="s">
        <v>377</v>
      </c>
      <c r="D151" s="132" t="str">
        <f t="shared" si="3"/>
        <v>No Service Required</v>
      </c>
      <c r="E151" s="152" t="str">
        <f>IFERROR(IF(Longlist!VU$5="Y",'Service Matrix'!#REF!,""),"")</f>
        <v/>
      </c>
    </row>
    <row r="152" spans="1:5" x14ac:dyDescent="0.2">
      <c r="A152" s="221"/>
      <c r="B152" s="132" t="s">
        <v>928</v>
      </c>
      <c r="C152" s="146" t="s">
        <v>374</v>
      </c>
      <c r="D152" s="132" t="str">
        <f t="shared" si="3"/>
        <v>No Service Required</v>
      </c>
      <c r="E152" s="152" t="str">
        <f>IFERROR(IF(Longlist!VO$5="Y",'Service Matrix'!#REF!,""),"")</f>
        <v/>
      </c>
    </row>
    <row r="153" spans="1:5" x14ac:dyDescent="0.2">
      <c r="A153" s="221"/>
      <c r="B153" s="132" t="s">
        <v>929</v>
      </c>
      <c r="C153" s="146" t="s">
        <v>930</v>
      </c>
      <c r="D153" s="132" t="str">
        <f t="shared" si="3"/>
        <v>No Service Required</v>
      </c>
      <c r="E153" s="152" t="str">
        <f>IFERROR(IF(Longlist!AFM$5="Y",'Service Matrix'!#REF!,""),"")</f>
        <v/>
      </c>
    </row>
    <row r="154" spans="1:5" x14ac:dyDescent="0.2">
      <c r="A154" s="221"/>
      <c r="B154" s="132" t="s">
        <v>931</v>
      </c>
      <c r="C154" s="146" t="s">
        <v>378</v>
      </c>
      <c r="D154" s="132" t="str">
        <f t="shared" si="3"/>
        <v>No Service Required</v>
      </c>
      <c r="E154" s="152" t="str">
        <f>IFERROR(IF(Longlist!VW$5="Y",'Service Matrix'!#REF!,""),"")</f>
        <v/>
      </c>
    </row>
    <row r="155" spans="1:5" x14ac:dyDescent="0.2">
      <c r="A155" s="222"/>
      <c r="B155" s="132" t="s">
        <v>932</v>
      </c>
      <c r="C155" s="146" t="s">
        <v>379</v>
      </c>
      <c r="D155" s="132" t="str">
        <f t="shared" si="3"/>
        <v>No Service Required</v>
      </c>
      <c r="E155" s="152" t="str">
        <f>IFERROR(IF(Longlist!VY$5="Y",'Service Matrix'!#REF!,""),"")</f>
        <v/>
      </c>
    </row>
    <row r="156" spans="1:5" x14ac:dyDescent="0.2">
      <c r="A156" s="217" t="s">
        <v>933</v>
      </c>
      <c r="B156" s="158" t="s">
        <v>934</v>
      </c>
      <c r="C156" s="159" t="s">
        <v>935</v>
      </c>
      <c r="D156" s="158" t="str">
        <f t="shared" si="3"/>
        <v>No Service Required</v>
      </c>
      <c r="E156" s="152"/>
    </row>
    <row r="157" spans="1:5" ht="20" x14ac:dyDescent="0.2">
      <c r="A157" s="218"/>
      <c r="B157" s="158" t="s">
        <v>936</v>
      </c>
      <c r="C157" s="159" t="s">
        <v>937</v>
      </c>
      <c r="D157" s="158" t="str">
        <f t="shared" si="3"/>
        <v>No Service Required</v>
      </c>
      <c r="E157" s="152"/>
    </row>
    <row r="158" spans="1:5" ht="20" x14ac:dyDescent="0.2">
      <c r="A158" s="218"/>
      <c r="B158" s="158" t="s">
        <v>938</v>
      </c>
      <c r="C158" s="159" t="s">
        <v>939</v>
      </c>
      <c r="D158" s="158" t="str">
        <f t="shared" si="3"/>
        <v>No Service Required</v>
      </c>
      <c r="E158" s="152"/>
    </row>
    <row r="159" spans="1:5" x14ac:dyDescent="0.2">
      <c r="A159" s="218"/>
      <c r="B159" s="158" t="s">
        <v>940</v>
      </c>
      <c r="C159" s="159" t="s">
        <v>941</v>
      </c>
      <c r="D159" s="158" t="str">
        <f t="shared" si="3"/>
        <v>No Service Required</v>
      </c>
      <c r="E159" s="152"/>
    </row>
    <row r="160" spans="1:5" x14ac:dyDescent="0.2">
      <c r="A160" s="219"/>
      <c r="B160" s="158" t="s">
        <v>942</v>
      </c>
      <c r="C160" s="159" t="s">
        <v>943</v>
      </c>
      <c r="D160" s="158" t="str">
        <f t="shared" si="3"/>
        <v>No Service Required</v>
      </c>
      <c r="E160" s="152"/>
    </row>
    <row r="161" spans="1:5" x14ac:dyDescent="0.2">
      <c r="A161" s="217" t="s">
        <v>944</v>
      </c>
      <c r="B161" s="158" t="s">
        <v>945</v>
      </c>
      <c r="C161" s="159" t="s">
        <v>946</v>
      </c>
      <c r="D161" s="158" t="str">
        <f t="shared" si="3"/>
        <v>No Service Required</v>
      </c>
      <c r="E161" s="152"/>
    </row>
    <row r="162" spans="1:5" x14ac:dyDescent="0.2">
      <c r="A162" s="218"/>
      <c r="B162" s="158" t="s">
        <v>947</v>
      </c>
      <c r="C162" s="159" t="s">
        <v>948</v>
      </c>
      <c r="D162" s="158" t="str">
        <f t="shared" si="3"/>
        <v>No Service Required</v>
      </c>
      <c r="E162" s="152"/>
    </row>
    <row r="163" spans="1:5" x14ac:dyDescent="0.2">
      <c r="A163" s="218"/>
      <c r="B163" s="158" t="s">
        <v>949</v>
      </c>
      <c r="C163" s="159" t="s">
        <v>950</v>
      </c>
      <c r="D163" s="158" t="str">
        <f t="shared" si="3"/>
        <v>No Service Required</v>
      </c>
      <c r="E163" s="152"/>
    </row>
    <row r="164" spans="1:5" x14ac:dyDescent="0.2">
      <c r="A164" s="218"/>
      <c r="B164" s="158" t="s">
        <v>951</v>
      </c>
      <c r="C164" s="159" t="s">
        <v>952</v>
      </c>
      <c r="D164" s="158" t="str">
        <f t="shared" si="3"/>
        <v>No Service Required</v>
      </c>
      <c r="E164" s="152"/>
    </row>
    <row r="165" spans="1:5" x14ac:dyDescent="0.2">
      <c r="A165" s="218"/>
      <c r="B165" s="158" t="s">
        <v>953</v>
      </c>
      <c r="C165" s="159" t="s">
        <v>954</v>
      </c>
      <c r="D165" s="158" t="str">
        <f t="shared" si="3"/>
        <v>No Service Required</v>
      </c>
      <c r="E165" s="152"/>
    </row>
    <row r="166" spans="1:5" x14ac:dyDescent="0.2">
      <c r="A166" s="218"/>
      <c r="B166" s="158" t="s">
        <v>955</v>
      </c>
      <c r="C166" s="159" t="s">
        <v>956</v>
      </c>
      <c r="D166" s="158" t="str">
        <f t="shared" si="3"/>
        <v>No Service Required</v>
      </c>
      <c r="E166" s="152"/>
    </row>
    <row r="167" spans="1:5" x14ac:dyDescent="0.2">
      <c r="A167" s="218"/>
      <c r="B167" s="158" t="s">
        <v>957</v>
      </c>
      <c r="C167" s="159" t="s">
        <v>958</v>
      </c>
      <c r="D167" s="158" t="str">
        <f t="shared" si="3"/>
        <v>No Service Required</v>
      </c>
      <c r="E167" s="152"/>
    </row>
    <row r="168" spans="1:5" x14ac:dyDescent="0.2">
      <c r="A168" s="218"/>
      <c r="B168" s="158" t="s">
        <v>959</v>
      </c>
      <c r="C168" s="159" t="s">
        <v>960</v>
      </c>
      <c r="D168" s="158" t="str">
        <f t="shared" si="3"/>
        <v>No Service Required</v>
      </c>
      <c r="E168" s="152"/>
    </row>
    <row r="169" spans="1:5" x14ac:dyDescent="0.2">
      <c r="A169" s="218"/>
      <c r="B169" s="158" t="s">
        <v>961</v>
      </c>
      <c r="C169" s="159" t="s">
        <v>962</v>
      </c>
      <c r="D169" s="158" t="str">
        <f t="shared" si="3"/>
        <v>No Service Required</v>
      </c>
      <c r="E169" s="152"/>
    </row>
    <row r="170" spans="1:5" x14ac:dyDescent="0.2">
      <c r="A170" s="218"/>
      <c r="B170" s="158" t="s">
        <v>963</v>
      </c>
      <c r="C170" s="159" t="s">
        <v>964</v>
      </c>
      <c r="D170" s="158" t="str">
        <f t="shared" si="3"/>
        <v>No Service Required</v>
      </c>
      <c r="E170" s="152"/>
    </row>
    <row r="171" spans="1:5" x14ac:dyDescent="0.2">
      <c r="A171" s="218"/>
      <c r="B171" s="158" t="s">
        <v>965</v>
      </c>
      <c r="C171" s="159" t="s">
        <v>966</v>
      </c>
      <c r="D171" s="158" t="str">
        <f t="shared" si="3"/>
        <v>No Service Required</v>
      </c>
      <c r="E171" s="152"/>
    </row>
    <row r="172" spans="1:5" x14ac:dyDescent="0.2">
      <c r="A172" s="218"/>
      <c r="B172" s="158" t="s">
        <v>967</v>
      </c>
      <c r="C172" s="159" t="s">
        <v>968</v>
      </c>
      <c r="D172" s="158" t="str">
        <f t="shared" si="3"/>
        <v>No Service Required</v>
      </c>
      <c r="E172" s="152"/>
    </row>
    <row r="173" spans="1:5" x14ac:dyDescent="0.2">
      <c r="A173" s="218"/>
      <c r="B173" s="158" t="s">
        <v>969</v>
      </c>
      <c r="C173" s="159" t="s">
        <v>970</v>
      </c>
      <c r="D173" s="158" t="str">
        <f t="shared" si="3"/>
        <v>No Service Required</v>
      </c>
      <c r="E173" s="152"/>
    </row>
    <row r="174" spans="1:5" x14ac:dyDescent="0.2">
      <c r="A174" s="218"/>
      <c r="B174" s="158" t="s">
        <v>971</v>
      </c>
      <c r="C174" s="159" t="s">
        <v>972</v>
      </c>
      <c r="D174" s="158" t="str">
        <f t="shared" si="3"/>
        <v>No Service Required</v>
      </c>
      <c r="E174" s="152"/>
    </row>
    <row r="175" spans="1:5" x14ac:dyDescent="0.2">
      <c r="A175" s="219"/>
      <c r="B175" s="158" t="s">
        <v>973</v>
      </c>
      <c r="C175" s="159" t="s">
        <v>974</v>
      </c>
      <c r="D175" s="158" t="str">
        <f t="shared" si="3"/>
        <v>No Service Required</v>
      </c>
      <c r="E175" s="152"/>
    </row>
    <row r="176" spans="1:5" x14ac:dyDescent="0.2">
      <c r="A176" s="149" t="s">
        <v>975</v>
      </c>
      <c r="B176" s="132" t="s">
        <v>976</v>
      </c>
      <c r="C176" s="146" t="s">
        <v>977</v>
      </c>
      <c r="D176" s="132" t="str">
        <f t="shared" si="3"/>
        <v>No Service Required</v>
      </c>
      <c r="E176" s="152" t="str">
        <f>IFERROR(IF(Longlist!IF$5="Y",'Service Matrix'!#REF!,""),"")</f>
        <v/>
      </c>
    </row>
    <row r="177" spans="1:5" x14ac:dyDescent="0.2">
      <c r="A177" s="132" t="s">
        <v>978</v>
      </c>
      <c r="B177" s="132" t="s">
        <v>979</v>
      </c>
      <c r="C177" s="146" t="s">
        <v>88</v>
      </c>
      <c r="D177" s="132" t="str">
        <f t="shared" si="3"/>
        <v>No Service Required</v>
      </c>
      <c r="E177" s="152" t="str">
        <f>IFERROR(IF(Longlist!IE$5="Y",'Service Matrix'!#REF!,""),"")</f>
        <v/>
      </c>
    </row>
    <row r="178" spans="1:5" ht="20" x14ac:dyDescent="0.2">
      <c r="A178" s="132" t="s">
        <v>980</v>
      </c>
      <c r="B178" s="132" t="s">
        <v>981</v>
      </c>
      <c r="C178" s="146" t="s">
        <v>982</v>
      </c>
      <c r="D178" s="132" t="str">
        <f t="shared" si="3"/>
        <v>No Service Required</v>
      </c>
      <c r="E178" s="152" t="str">
        <f>IF(Longlist!IG$5="Y",'Service Matrix'!#REF!,"")</f>
        <v/>
      </c>
    </row>
    <row r="179" spans="1:5" x14ac:dyDescent="0.2">
      <c r="C179" s="131" t="s">
        <v>983</v>
      </c>
    </row>
  </sheetData>
  <mergeCells count="12">
    <mergeCell ref="A161:A175"/>
    <mergeCell ref="A3:A43"/>
    <mergeCell ref="A44:A56"/>
    <mergeCell ref="A57:A64"/>
    <mergeCell ref="A65:A74"/>
    <mergeCell ref="A75:A98"/>
    <mergeCell ref="A99:A114"/>
    <mergeCell ref="A115:A119"/>
    <mergeCell ref="A120:A134"/>
    <mergeCell ref="A135:A142"/>
    <mergeCell ref="A143:A155"/>
    <mergeCell ref="A156:A160"/>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CCF7D-A042-4840-B9C1-BD84BB4E0F7F}">
  <dimension ref="A1:Z109"/>
  <sheetViews>
    <sheetView zoomScale="115" zoomScaleNormal="115" workbookViewId="0">
      <selection activeCell="Z2" sqref="Z2"/>
    </sheetView>
  </sheetViews>
  <sheetFormatPr defaultRowHeight="14.5" x14ac:dyDescent="0.35"/>
  <cols>
    <col min="1" max="1" width="31.1796875" customWidth="1"/>
    <col min="2" max="2" width="39.7265625" bestFit="1" customWidth="1"/>
    <col min="3" max="3" width="51.81640625" customWidth="1"/>
    <col min="5" max="5" width="9.1796875" style="148"/>
    <col min="6" max="6" width="43.54296875" bestFit="1" customWidth="1"/>
    <col min="7" max="7" width="12.26953125" bestFit="1" customWidth="1"/>
    <col min="10" max="10" width="38" bestFit="1" customWidth="1"/>
  </cols>
  <sheetData>
    <row r="1" spans="1:26" x14ac:dyDescent="0.35">
      <c r="A1" s="131"/>
      <c r="B1" s="131"/>
      <c r="C1" s="144" t="s">
        <v>678</v>
      </c>
      <c r="D1" s="131"/>
      <c r="E1" s="155"/>
      <c r="J1" s="153" t="s">
        <v>715</v>
      </c>
      <c r="K1" s="153" t="s">
        <v>716</v>
      </c>
      <c r="Z1" t="s">
        <v>984</v>
      </c>
    </row>
    <row r="2" spans="1:26" x14ac:dyDescent="0.35">
      <c r="A2" s="223" t="s">
        <v>120</v>
      </c>
      <c r="B2" s="133" t="s">
        <v>679</v>
      </c>
      <c r="C2" s="160">
        <f>Longlist!D5</f>
        <v>0</v>
      </c>
      <c r="D2" s="131"/>
      <c r="E2" s="155"/>
      <c r="J2" s="153" t="s">
        <v>717</v>
      </c>
      <c r="K2" s="153" t="s">
        <v>718</v>
      </c>
    </row>
    <row r="3" spans="1:26" x14ac:dyDescent="0.35">
      <c r="A3" s="224"/>
      <c r="B3" s="133" t="s">
        <v>680</v>
      </c>
      <c r="C3" s="145">
        <f>Longlist!C5</f>
        <v>0</v>
      </c>
      <c r="D3" s="131"/>
      <c r="E3" s="155"/>
    </row>
    <row r="4" spans="1:26" x14ac:dyDescent="0.35">
      <c r="A4" s="224"/>
      <c r="B4" s="133" t="s">
        <v>681</v>
      </c>
      <c r="C4" s="145" t="str">
        <f>IFERROR(VLOOKUP(Longlist!R5,'[2]Service Matrix'!Z1:AA18,2,0),"")</f>
        <v/>
      </c>
      <c r="D4" s="131"/>
      <c r="E4" s="155"/>
    </row>
    <row r="5" spans="1:26" x14ac:dyDescent="0.35">
      <c r="A5" s="224"/>
      <c r="B5" s="133" t="s">
        <v>682</v>
      </c>
      <c r="C5" s="145">
        <f>Longlist!R5</f>
        <v>0</v>
      </c>
      <c r="D5" s="131"/>
      <c r="E5" s="155"/>
    </row>
    <row r="6" spans="1:26" x14ac:dyDescent="0.35">
      <c r="A6" s="224"/>
      <c r="B6" s="134" t="s">
        <v>683</v>
      </c>
      <c r="C6" s="145">
        <f>Longlist!AI5</f>
        <v>0</v>
      </c>
      <c r="D6" s="131"/>
      <c r="E6" s="155"/>
    </row>
    <row r="7" spans="1:26" x14ac:dyDescent="0.35">
      <c r="A7" s="224"/>
      <c r="B7" s="133" t="s">
        <v>684</v>
      </c>
      <c r="C7" s="145">
        <f>Longlist!X5</f>
        <v>5</v>
      </c>
      <c r="D7" s="131"/>
      <c r="E7" s="155"/>
    </row>
    <row r="8" spans="1:26" x14ac:dyDescent="0.35">
      <c r="A8" s="224"/>
      <c r="B8" s="134" t="s">
        <v>685</v>
      </c>
      <c r="C8" s="145"/>
      <c r="D8" s="131"/>
      <c r="E8" s="155"/>
    </row>
    <row r="9" spans="1:26" x14ac:dyDescent="0.35">
      <c r="A9" s="224"/>
      <c r="B9" s="135" t="s">
        <v>686</v>
      </c>
      <c r="C9" s="145"/>
      <c r="D9" s="131"/>
      <c r="E9" s="155"/>
    </row>
    <row r="10" spans="1:26" x14ac:dyDescent="0.35">
      <c r="A10" s="225"/>
      <c r="B10" s="134" t="s">
        <v>687</v>
      </c>
      <c r="C10" s="145"/>
      <c r="D10" s="131"/>
      <c r="E10" s="155"/>
    </row>
    <row r="11" spans="1:26" x14ac:dyDescent="0.35">
      <c r="A11" s="223" t="s">
        <v>16</v>
      </c>
      <c r="B11" s="133" t="s">
        <v>688</v>
      </c>
      <c r="C11" s="145"/>
      <c r="D11" s="131"/>
      <c r="E11" s="155"/>
    </row>
    <row r="12" spans="1:26" x14ac:dyDescent="0.35">
      <c r="A12" s="224"/>
      <c r="B12" s="136" t="s">
        <v>689</v>
      </c>
      <c r="C12" s="145">
        <f>Longlist!E5</f>
        <v>0</v>
      </c>
      <c r="D12" s="131"/>
      <c r="E12" s="155"/>
    </row>
    <row r="13" spans="1:26" x14ac:dyDescent="0.35">
      <c r="A13" s="224"/>
      <c r="B13" s="133" t="s">
        <v>690</v>
      </c>
      <c r="C13" s="145"/>
      <c r="D13" s="131"/>
      <c r="E13" s="155"/>
    </row>
    <row r="14" spans="1:26" x14ac:dyDescent="0.35">
      <c r="A14" s="225"/>
      <c r="B14" s="137" t="s">
        <v>691</v>
      </c>
      <c r="C14" s="145">
        <f>Longlist!F5</f>
        <v>0</v>
      </c>
      <c r="D14" s="131"/>
      <c r="E14" s="155"/>
    </row>
    <row r="15" spans="1:26" x14ac:dyDescent="0.35">
      <c r="A15" s="223" t="s">
        <v>692</v>
      </c>
      <c r="B15" s="138" t="s">
        <v>693</v>
      </c>
      <c r="C15" s="145">
        <f>Longlist!L5</f>
        <v>0</v>
      </c>
      <c r="D15" s="131"/>
      <c r="E15" s="155"/>
    </row>
    <row r="16" spans="1:26" x14ac:dyDescent="0.35">
      <c r="A16" s="224"/>
      <c r="B16" s="139" t="s">
        <v>694</v>
      </c>
      <c r="C16" s="145">
        <f>Longlist!M5</f>
        <v>0</v>
      </c>
      <c r="D16" s="131"/>
      <c r="E16" s="155"/>
    </row>
    <row r="17" spans="1:5" x14ac:dyDescent="0.35">
      <c r="A17" s="224"/>
      <c r="B17" s="139" t="s">
        <v>110</v>
      </c>
      <c r="C17" s="145"/>
      <c r="D17" s="131"/>
      <c r="E17" s="155"/>
    </row>
    <row r="18" spans="1:5" x14ac:dyDescent="0.35">
      <c r="A18" s="224"/>
      <c r="B18" s="140" t="s">
        <v>60</v>
      </c>
      <c r="C18" s="145">
        <f>Longlist!BY5</f>
        <v>0</v>
      </c>
      <c r="D18" s="131"/>
      <c r="E18" s="155"/>
    </row>
    <row r="19" spans="1:5" x14ac:dyDescent="0.35">
      <c r="A19" s="224"/>
      <c r="B19" s="140" t="s">
        <v>695</v>
      </c>
      <c r="C19" s="145">
        <f>Longlist!CB5</f>
        <v>0</v>
      </c>
      <c r="D19" s="131"/>
      <c r="E19" s="155"/>
    </row>
    <row r="20" spans="1:5" x14ac:dyDescent="0.35">
      <c r="A20" s="224"/>
      <c r="B20" s="139" t="s">
        <v>696</v>
      </c>
      <c r="C20" s="145">
        <f>Longlist!S5</f>
        <v>0</v>
      </c>
      <c r="D20" s="131"/>
      <c r="E20" s="155"/>
    </row>
    <row r="21" spans="1:5" x14ac:dyDescent="0.35">
      <c r="A21" s="224"/>
      <c r="B21" s="139" t="s">
        <v>697</v>
      </c>
      <c r="C21" s="145"/>
      <c r="D21" s="131"/>
      <c r="E21" s="155"/>
    </row>
    <row r="22" spans="1:5" x14ac:dyDescent="0.35">
      <c r="A22" s="224"/>
      <c r="B22" s="139" t="s">
        <v>698</v>
      </c>
      <c r="C22" s="145"/>
      <c r="D22" s="131"/>
      <c r="E22" s="155"/>
    </row>
    <row r="23" spans="1:5" x14ac:dyDescent="0.35">
      <c r="A23" s="224"/>
      <c r="B23" s="139" t="s">
        <v>699</v>
      </c>
      <c r="C23" s="145"/>
      <c r="D23" s="131"/>
      <c r="E23" s="155"/>
    </row>
    <row r="24" spans="1:5" x14ac:dyDescent="0.35">
      <c r="A24" s="224"/>
      <c r="B24" s="141" t="s">
        <v>700</v>
      </c>
      <c r="C24" s="145"/>
      <c r="D24" s="131"/>
      <c r="E24" s="155"/>
    </row>
    <row r="25" spans="1:5" x14ac:dyDescent="0.35">
      <c r="A25" s="224"/>
      <c r="B25" s="141" t="s">
        <v>701</v>
      </c>
      <c r="C25" s="145"/>
      <c r="D25" s="131"/>
      <c r="E25" s="155"/>
    </row>
    <row r="26" spans="1:5" x14ac:dyDescent="0.35">
      <c r="A26" s="225"/>
      <c r="B26" s="142" t="s">
        <v>702</v>
      </c>
      <c r="C26" s="145"/>
      <c r="D26" s="131"/>
      <c r="E26" s="155" t="str" cm="1">
        <f t="array" ref="E26">IFERROR(_xlfn.IFS(Longlist!LB5="N/A","",Longlist!LB5="Standard",#REF!,Longlist!LB5&gt;0,Y1,Longlist!LH5="Standard",#REF!,Longlist!LH5&gt;0,Y1,Longlist!LO5="Standard",#REF!,Longlist!LO5&gt;0,Y1,Longlist!LU5="Standard",#REF!,Longlist!LU5&gt;0,Y1,Longlist!MA5="Standard",#REF!,Longlist!MA5&gt;0,Y1,Longlist!MG5="Standard",#REF!,Longlist!MG5&gt;0,Y1),"")</f>
        <v/>
      </c>
    </row>
    <row r="27" spans="1:5" x14ac:dyDescent="0.35">
      <c r="A27" s="220" t="s">
        <v>703</v>
      </c>
      <c r="B27" s="143" t="s">
        <v>704</v>
      </c>
      <c r="C27" s="145">
        <f>Longlist!FX5</f>
        <v>0</v>
      </c>
      <c r="D27" s="131"/>
      <c r="E27" s="155"/>
    </row>
    <row r="28" spans="1:5" x14ac:dyDescent="0.35">
      <c r="A28" s="221"/>
      <c r="B28" s="143" t="s">
        <v>705</v>
      </c>
      <c r="C28" s="145">
        <f>Longlist!Z5</f>
        <v>5</v>
      </c>
      <c r="D28" s="131"/>
      <c r="E28" s="155"/>
    </row>
    <row r="29" spans="1:5" x14ac:dyDescent="0.35">
      <c r="A29" s="221"/>
      <c r="B29" s="134" t="s">
        <v>706</v>
      </c>
      <c r="C29" s="145"/>
      <c r="D29" s="131"/>
      <c r="E29" s="155"/>
    </row>
    <row r="30" spans="1:5" x14ac:dyDescent="0.35">
      <c r="A30" s="221"/>
      <c r="B30" s="143" t="s">
        <v>707</v>
      </c>
      <c r="C30" s="145">
        <f>Longlist!DR5</f>
        <v>0</v>
      </c>
      <c r="D30" s="131"/>
      <c r="E30" s="155"/>
    </row>
    <row r="31" spans="1:5" x14ac:dyDescent="0.35">
      <c r="A31" s="221"/>
      <c r="B31" s="147" t="s">
        <v>708</v>
      </c>
      <c r="C31" s="145"/>
      <c r="D31" s="131"/>
      <c r="E31" s="155"/>
    </row>
    <row r="32" spans="1:5" x14ac:dyDescent="0.35">
      <c r="A32" s="222"/>
      <c r="B32" s="147" t="s">
        <v>709</v>
      </c>
      <c r="C32" s="145"/>
      <c r="D32" s="131"/>
      <c r="E32" s="155"/>
    </row>
    <row r="33" spans="1:5" x14ac:dyDescent="0.35">
      <c r="A33" s="131"/>
      <c r="B33" s="131"/>
      <c r="C33" s="131"/>
      <c r="D33" s="131"/>
      <c r="E33" s="155"/>
    </row>
    <row r="34" spans="1:5" x14ac:dyDescent="0.35">
      <c r="A34" s="131"/>
      <c r="B34" s="131"/>
      <c r="C34" s="131"/>
      <c r="D34" s="131"/>
      <c r="E34" s="155"/>
    </row>
    <row r="35" spans="1:5" x14ac:dyDescent="0.35">
      <c r="A35" s="131"/>
      <c r="B35" s="131"/>
      <c r="C35" s="131"/>
      <c r="D35" s="131"/>
      <c r="E35" s="155"/>
    </row>
    <row r="108" spans="3:5" x14ac:dyDescent="0.35">
      <c r="C108" s="161"/>
      <c r="E108" s="148" t="str">
        <f>IFERROR(IF(E103=#REF!,#REF!,""),"")</f>
        <v/>
      </c>
    </row>
    <row r="109" spans="3:5" x14ac:dyDescent="0.35">
      <c r="C109" s="161"/>
      <c r="E109" s="148" t="str">
        <f>IFERROR(IF(E103=#REF!,#REF!,""),"")</f>
        <v/>
      </c>
    </row>
  </sheetData>
  <mergeCells count="4">
    <mergeCell ref="A2:A10"/>
    <mergeCell ref="A11:A14"/>
    <mergeCell ref="A15:A26"/>
    <mergeCell ref="A27:A32"/>
  </mergeCells>
  <dataValidations disablePrompts="1" count="3">
    <dataValidation type="decimal" operator="greaterThanOrEqual" allowBlank="1" showInputMessage="1" showErrorMessage="1" errorTitle="Input Error" error="Value entered should be numeric." sqref="C7" xr:uid="{44121B6B-8B12-4F78-8F72-A63EEE72979F}">
      <formula1>0</formula1>
    </dataValidation>
    <dataValidation type="list" allowBlank="1" showInputMessage="1" showErrorMessage="1" sqref="C11" xr:uid="{3A455641-F5DC-42B2-8EFA-282A87F098CA}">
      <formula1>NUTSRegions</formula1>
    </dataValidation>
    <dataValidation type="list" allowBlank="1" showInputMessage="1" showErrorMessage="1" sqref="C5" xr:uid="{328AED2A-6F83-4E28-8DD7-B68394CDBB88}">
      <formula1>INDIRECT(SUBSTITUTE(C4,"-",""))</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7B0B6-15AE-48BA-BC84-11E31D7988A2}">
  <dimension ref="B1:F52"/>
  <sheetViews>
    <sheetView showGridLines="0" workbookViewId="0">
      <pane xSplit="2" ySplit="2" topLeftCell="C3" activePane="bottomRight" state="frozen"/>
      <selection pane="topRight" activeCell="C1" sqref="C1"/>
      <selection pane="bottomLeft" activeCell="A3" sqref="A3"/>
      <selection pane="bottomRight" activeCell="C20" sqref="C20"/>
    </sheetView>
  </sheetViews>
  <sheetFormatPr defaultRowHeight="14.5" x14ac:dyDescent="0.35"/>
  <cols>
    <col min="2" max="2" width="15.453125" bestFit="1" customWidth="1"/>
    <col min="3" max="3" width="40.7265625" customWidth="1"/>
    <col min="4" max="4" width="60.7265625" customWidth="1"/>
    <col min="5" max="6" width="20.7265625" customWidth="1"/>
  </cols>
  <sheetData>
    <row r="1" spans="2:6" ht="15" thickBot="1" x14ac:dyDescent="0.4"/>
    <row r="2" spans="2:6" ht="15.5" x14ac:dyDescent="0.35">
      <c r="B2" s="98" t="s">
        <v>5</v>
      </c>
      <c r="C2" s="99" t="s">
        <v>6</v>
      </c>
      <c r="D2" s="99" t="s">
        <v>7</v>
      </c>
      <c r="E2" s="99" t="s">
        <v>8</v>
      </c>
      <c r="F2" s="100" t="s">
        <v>9</v>
      </c>
    </row>
    <row r="3" spans="2:6" ht="15.5" x14ac:dyDescent="0.35">
      <c r="B3" s="101">
        <v>1</v>
      </c>
      <c r="C3" s="67"/>
      <c r="D3" s="67"/>
      <c r="E3" s="67"/>
      <c r="F3" s="102"/>
    </row>
    <row r="4" spans="2:6" ht="15.5" x14ac:dyDescent="0.35">
      <c r="B4" s="101">
        <v>2</v>
      </c>
      <c r="C4" s="67"/>
      <c r="D4" s="67"/>
      <c r="E4" s="67"/>
      <c r="F4" s="102"/>
    </row>
    <row r="5" spans="2:6" ht="15.5" x14ac:dyDescent="0.35">
      <c r="B5" s="101">
        <v>3</v>
      </c>
      <c r="C5" s="67"/>
      <c r="D5" s="67"/>
      <c r="E5" s="67"/>
      <c r="F5" s="102"/>
    </row>
    <row r="6" spans="2:6" ht="15.5" x14ac:dyDescent="0.35">
      <c r="B6" s="101">
        <v>4</v>
      </c>
      <c r="C6" s="67"/>
      <c r="D6" s="67"/>
      <c r="E6" s="67"/>
      <c r="F6" s="102"/>
    </row>
    <row r="7" spans="2:6" ht="15.5" x14ac:dyDescent="0.35">
      <c r="B7" s="101">
        <v>5</v>
      </c>
      <c r="C7" s="67"/>
      <c r="D7" s="67"/>
      <c r="E7" s="67"/>
      <c r="F7" s="102"/>
    </row>
    <row r="8" spans="2:6" ht="15.5" x14ac:dyDescent="0.35">
      <c r="B8" s="101">
        <v>6</v>
      </c>
      <c r="C8" s="67"/>
      <c r="D8" s="67"/>
      <c r="E8" s="67"/>
      <c r="F8" s="102"/>
    </row>
    <row r="9" spans="2:6" ht="15.5" x14ac:dyDescent="0.35">
      <c r="B9" s="101">
        <v>7</v>
      </c>
      <c r="C9" s="67"/>
      <c r="D9" s="67"/>
      <c r="E9" s="67"/>
      <c r="F9" s="102"/>
    </row>
    <row r="10" spans="2:6" ht="15.5" x14ac:dyDescent="0.35">
      <c r="B10" s="101">
        <v>8</v>
      </c>
      <c r="C10" s="67"/>
      <c r="D10" s="67"/>
      <c r="E10" s="67"/>
      <c r="F10" s="102"/>
    </row>
    <row r="11" spans="2:6" ht="15.5" x14ac:dyDescent="0.35">
      <c r="B11" s="101">
        <v>9</v>
      </c>
      <c r="C11" s="67"/>
      <c r="D11" s="67"/>
      <c r="E11" s="67"/>
      <c r="F11" s="102"/>
    </row>
    <row r="12" spans="2:6" ht="15.5" x14ac:dyDescent="0.35">
      <c r="B12" s="101">
        <v>10</v>
      </c>
      <c r="C12" s="67"/>
      <c r="D12" s="67"/>
      <c r="E12" s="67"/>
      <c r="F12" s="102"/>
    </row>
    <row r="13" spans="2:6" ht="15.5" x14ac:dyDescent="0.35">
      <c r="B13" s="101">
        <v>11</v>
      </c>
      <c r="C13" s="67"/>
      <c r="D13" s="67"/>
      <c r="E13" s="67"/>
      <c r="F13" s="102"/>
    </row>
    <row r="14" spans="2:6" ht="15.5" x14ac:dyDescent="0.35">
      <c r="B14" s="101">
        <v>12</v>
      </c>
      <c r="C14" s="67"/>
      <c r="D14" s="67"/>
      <c r="E14" s="67"/>
      <c r="F14" s="102"/>
    </row>
    <row r="15" spans="2:6" ht="15.5" x14ac:dyDescent="0.35">
      <c r="B15" s="101">
        <v>13</v>
      </c>
      <c r="C15" s="67"/>
      <c r="D15" s="67"/>
      <c r="E15" s="67"/>
      <c r="F15" s="102"/>
    </row>
    <row r="16" spans="2:6" ht="15.5" x14ac:dyDescent="0.35">
      <c r="B16" s="101">
        <v>14</v>
      </c>
      <c r="C16" s="67"/>
      <c r="D16" s="67"/>
      <c r="E16" s="67"/>
      <c r="F16" s="102"/>
    </row>
    <row r="17" spans="2:6" ht="15.5" x14ac:dyDescent="0.35">
      <c r="B17" s="101">
        <v>15</v>
      </c>
      <c r="C17" s="67"/>
      <c r="D17" s="67"/>
      <c r="E17" s="67"/>
      <c r="F17" s="102"/>
    </row>
    <row r="18" spans="2:6" ht="15.5" x14ac:dyDescent="0.35">
      <c r="B18" s="101">
        <v>16</v>
      </c>
      <c r="C18" s="67"/>
      <c r="D18" s="67"/>
      <c r="E18" s="67"/>
      <c r="F18" s="102"/>
    </row>
    <row r="19" spans="2:6" ht="15.5" x14ac:dyDescent="0.35">
      <c r="B19" s="101">
        <v>17</v>
      </c>
      <c r="C19" s="67"/>
      <c r="D19" s="67"/>
      <c r="E19" s="67"/>
      <c r="F19" s="102"/>
    </row>
    <row r="20" spans="2:6" ht="15.5" x14ac:dyDescent="0.35">
      <c r="B20" s="101">
        <v>18</v>
      </c>
      <c r="C20" s="67"/>
      <c r="D20" s="67"/>
      <c r="E20" s="67"/>
      <c r="F20" s="102"/>
    </row>
    <row r="21" spans="2:6" ht="15.5" x14ac:dyDescent="0.35">
      <c r="B21" s="101">
        <v>19</v>
      </c>
      <c r="C21" s="67"/>
      <c r="D21" s="67"/>
      <c r="E21" s="67"/>
      <c r="F21" s="102"/>
    </row>
    <row r="22" spans="2:6" ht="15.5" x14ac:dyDescent="0.35">
      <c r="B22" s="101">
        <v>20</v>
      </c>
      <c r="C22" s="67"/>
      <c r="D22" s="67"/>
      <c r="E22" s="67"/>
      <c r="F22" s="102"/>
    </row>
    <row r="23" spans="2:6" ht="15.5" x14ac:dyDescent="0.35">
      <c r="B23" s="101">
        <v>21</v>
      </c>
      <c r="C23" s="67"/>
      <c r="D23" s="67"/>
      <c r="E23" s="67"/>
      <c r="F23" s="102"/>
    </row>
    <row r="24" spans="2:6" ht="15.5" x14ac:dyDescent="0.35">
      <c r="B24" s="101">
        <v>22</v>
      </c>
      <c r="C24" s="67"/>
      <c r="D24" s="67"/>
      <c r="E24" s="67"/>
      <c r="F24" s="102"/>
    </row>
    <row r="25" spans="2:6" ht="15.5" x14ac:dyDescent="0.35">
      <c r="B25" s="101">
        <v>23</v>
      </c>
      <c r="C25" s="67"/>
      <c r="D25" s="67"/>
      <c r="E25" s="67"/>
      <c r="F25" s="102"/>
    </row>
    <row r="26" spans="2:6" ht="15.5" x14ac:dyDescent="0.35">
      <c r="B26" s="101">
        <v>24</v>
      </c>
      <c r="C26" s="67"/>
      <c r="D26" s="67"/>
      <c r="E26" s="67"/>
      <c r="F26" s="102"/>
    </row>
    <row r="27" spans="2:6" ht="15.5" x14ac:dyDescent="0.35">
      <c r="B27" s="101">
        <v>25</v>
      </c>
      <c r="C27" s="67"/>
      <c r="D27" s="67"/>
      <c r="E27" s="67"/>
      <c r="F27" s="102"/>
    </row>
    <row r="28" spans="2:6" ht="15.5" x14ac:dyDescent="0.35">
      <c r="B28" s="101">
        <v>26</v>
      </c>
      <c r="C28" s="67"/>
      <c r="D28" s="67"/>
      <c r="E28" s="67"/>
      <c r="F28" s="102"/>
    </row>
    <row r="29" spans="2:6" ht="15.5" x14ac:dyDescent="0.35">
      <c r="B29" s="101">
        <v>27</v>
      </c>
      <c r="C29" s="67"/>
      <c r="D29" s="67"/>
      <c r="E29" s="67"/>
      <c r="F29" s="102"/>
    </row>
    <row r="30" spans="2:6" ht="15.5" x14ac:dyDescent="0.35">
      <c r="B30" s="101">
        <v>28</v>
      </c>
      <c r="C30" s="67"/>
      <c r="D30" s="67"/>
      <c r="E30" s="67"/>
      <c r="F30" s="102"/>
    </row>
    <row r="31" spans="2:6" ht="15.5" x14ac:dyDescent="0.35">
      <c r="B31" s="101">
        <v>29</v>
      </c>
      <c r="C31" s="67"/>
      <c r="D31" s="67"/>
      <c r="E31" s="67"/>
      <c r="F31" s="102"/>
    </row>
    <row r="32" spans="2:6" ht="15.5" x14ac:dyDescent="0.35">
      <c r="B32" s="101">
        <v>30</v>
      </c>
      <c r="C32" s="67"/>
      <c r="D32" s="67"/>
      <c r="E32" s="67"/>
      <c r="F32" s="102"/>
    </row>
    <row r="33" spans="2:6" ht="15.5" x14ac:dyDescent="0.35">
      <c r="B33" s="101">
        <v>31</v>
      </c>
      <c r="C33" s="67"/>
      <c r="D33" s="67"/>
      <c r="E33" s="67"/>
      <c r="F33" s="102"/>
    </row>
    <row r="34" spans="2:6" ht="15.5" x14ac:dyDescent="0.35">
      <c r="B34" s="101">
        <v>32</v>
      </c>
      <c r="C34" s="67"/>
      <c r="D34" s="67"/>
      <c r="E34" s="67"/>
      <c r="F34" s="102"/>
    </row>
    <row r="35" spans="2:6" ht="15.5" x14ac:dyDescent="0.35">
      <c r="B35" s="101">
        <v>33</v>
      </c>
      <c r="C35" s="67"/>
      <c r="D35" s="67"/>
      <c r="E35" s="67"/>
      <c r="F35" s="102"/>
    </row>
    <row r="36" spans="2:6" ht="15.5" x14ac:dyDescent="0.35">
      <c r="B36" s="101">
        <v>34</v>
      </c>
      <c r="C36" s="67"/>
      <c r="D36" s="67"/>
      <c r="E36" s="67"/>
      <c r="F36" s="102"/>
    </row>
    <row r="37" spans="2:6" ht="15.5" x14ac:dyDescent="0.35">
      <c r="B37" s="101">
        <v>35</v>
      </c>
      <c r="C37" s="67"/>
      <c r="D37" s="67"/>
      <c r="E37" s="67"/>
      <c r="F37" s="102"/>
    </row>
    <row r="38" spans="2:6" ht="15.5" x14ac:dyDescent="0.35">
      <c r="B38" s="101">
        <v>36</v>
      </c>
      <c r="C38" s="67"/>
      <c r="D38" s="67"/>
      <c r="E38" s="67"/>
      <c r="F38" s="102"/>
    </row>
    <row r="39" spans="2:6" ht="15.5" x14ac:dyDescent="0.35">
      <c r="B39" s="101">
        <v>37</v>
      </c>
      <c r="C39" s="67"/>
      <c r="D39" s="67"/>
      <c r="E39" s="67"/>
      <c r="F39" s="102"/>
    </row>
    <row r="40" spans="2:6" ht="15.5" x14ac:dyDescent="0.35">
      <c r="B40" s="101">
        <v>38</v>
      </c>
      <c r="C40" s="67"/>
      <c r="D40" s="67"/>
      <c r="E40" s="67"/>
      <c r="F40" s="102"/>
    </row>
    <row r="41" spans="2:6" ht="15.5" x14ac:dyDescent="0.35">
      <c r="B41" s="101">
        <v>39</v>
      </c>
      <c r="C41" s="67"/>
      <c r="D41" s="67"/>
      <c r="E41" s="67"/>
      <c r="F41" s="102"/>
    </row>
    <row r="42" spans="2:6" ht="15.5" x14ac:dyDescent="0.35">
      <c r="B42" s="101">
        <v>40</v>
      </c>
      <c r="C42" s="67"/>
      <c r="D42" s="67"/>
      <c r="E42" s="67"/>
      <c r="F42" s="102"/>
    </row>
    <row r="43" spans="2:6" ht="15.5" x14ac:dyDescent="0.35">
      <c r="B43" s="101">
        <v>41</v>
      </c>
      <c r="C43" s="67"/>
      <c r="D43" s="67"/>
      <c r="E43" s="67"/>
      <c r="F43" s="102"/>
    </row>
    <row r="44" spans="2:6" ht="15.5" x14ac:dyDescent="0.35">
      <c r="B44" s="101">
        <v>42</v>
      </c>
      <c r="C44" s="67"/>
      <c r="D44" s="67"/>
      <c r="E44" s="67"/>
      <c r="F44" s="102"/>
    </row>
    <row r="45" spans="2:6" ht="15.5" x14ac:dyDescent="0.35">
      <c r="B45" s="101">
        <v>43</v>
      </c>
      <c r="C45" s="67"/>
      <c r="D45" s="67"/>
      <c r="E45" s="67"/>
      <c r="F45" s="102"/>
    </row>
    <row r="46" spans="2:6" ht="15.5" x14ac:dyDescent="0.35">
      <c r="B46" s="101">
        <v>44</v>
      </c>
      <c r="C46" s="67"/>
      <c r="D46" s="67"/>
      <c r="E46" s="67"/>
      <c r="F46" s="102"/>
    </row>
    <row r="47" spans="2:6" ht="15.5" x14ac:dyDescent="0.35">
      <c r="B47" s="101">
        <v>45</v>
      </c>
      <c r="C47" s="67"/>
      <c r="D47" s="67"/>
      <c r="E47" s="67"/>
      <c r="F47" s="102"/>
    </row>
    <row r="48" spans="2:6" ht="15.5" x14ac:dyDescent="0.35">
      <c r="B48" s="101">
        <v>46</v>
      </c>
      <c r="C48" s="67"/>
      <c r="D48" s="67"/>
      <c r="E48" s="67"/>
      <c r="F48" s="102"/>
    </row>
    <row r="49" spans="2:6" ht="15.5" x14ac:dyDescent="0.35">
      <c r="B49" s="101">
        <v>47</v>
      </c>
      <c r="C49" s="67"/>
      <c r="D49" s="67"/>
      <c r="E49" s="67"/>
      <c r="F49" s="102"/>
    </row>
    <row r="50" spans="2:6" ht="15.5" x14ac:dyDescent="0.35">
      <c r="B50" s="101">
        <v>48</v>
      </c>
      <c r="C50" s="67"/>
      <c r="D50" s="67"/>
      <c r="E50" s="67"/>
      <c r="F50" s="102"/>
    </row>
    <row r="51" spans="2:6" ht="15.5" x14ac:dyDescent="0.35">
      <c r="B51" s="101">
        <v>49</v>
      </c>
      <c r="C51" s="67"/>
      <c r="D51" s="67"/>
      <c r="E51" s="67"/>
      <c r="F51" s="102"/>
    </row>
    <row r="52" spans="2:6" ht="16" thickBot="1" x14ac:dyDescent="0.4">
      <c r="B52" s="103">
        <v>50</v>
      </c>
      <c r="C52" s="104"/>
      <c r="D52" s="104"/>
      <c r="E52" s="104"/>
      <c r="F52" s="105"/>
    </row>
  </sheetData>
  <sheetProtection algorithmName="SHA-512" hashValue="vy4bsBr+ZPxHxjBssXBNoIWqI8TN5iYoEsxHX7wlQGn3FDA7Ccgru/tsP4bRrH2O/P6ysqh41com7FZxjpE0Hw==" saltValue="q0/bsy4pzcNTgJs73EX3Bw=="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C893087-C5BC-476B-B163-6D2C90089AF9}">
          <x14:formula1>
            <xm:f>Longlist!$B$4:$AGR$4</xm:f>
          </x14:formula1>
          <xm:sqref>C3:C52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9BC72-9244-44C3-AB6F-86E164B785F1}">
  <sheetPr>
    <tabColor rgb="FFFF5050"/>
  </sheetPr>
  <dimension ref="B1:I135"/>
  <sheetViews>
    <sheetView showGridLines="0" zoomScale="115" zoomScaleNormal="115" workbookViewId="0">
      <pane xSplit="1" ySplit="9" topLeftCell="B10" activePane="bottomRight" state="frozen"/>
      <selection pane="topRight" activeCell="G12" sqref="G12"/>
      <selection pane="bottomLeft" activeCell="G12" sqref="G12"/>
      <selection pane="bottomRight" activeCell="F12" sqref="F12"/>
    </sheetView>
  </sheetViews>
  <sheetFormatPr defaultRowHeight="15.5" x14ac:dyDescent="0.35"/>
  <cols>
    <col min="1" max="1" width="2" customWidth="1"/>
    <col min="2" max="2" width="40.7265625" style="17" customWidth="1"/>
    <col min="3" max="3" width="2.54296875" style="13" customWidth="1"/>
    <col min="4" max="4" width="40.7265625" style="13" customWidth="1"/>
    <col min="5" max="5" width="2.1796875" style="13" customWidth="1"/>
    <col min="6" max="6" width="40.7265625" style="13" customWidth="1"/>
    <col min="7" max="7" width="2.81640625" style="13" customWidth="1"/>
    <col min="8" max="8" width="40.7265625" style="13" customWidth="1"/>
    <col min="9" max="9" width="20.7265625" style="13" customWidth="1"/>
  </cols>
  <sheetData>
    <row r="1" spans="2:9" ht="16" thickBot="1" x14ac:dyDescent="0.4"/>
    <row r="2" spans="2:9" ht="16" thickBot="1" x14ac:dyDescent="0.4">
      <c r="B2" s="171" t="s">
        <v>10</v>
      </c>
      <c r="C2" s="172"/>
      <c r="D2" s="173"/>
      <c r="F2" s="162" t="s">
        <v>11</v>
      </c>
      <c r="G2" s="163"/>
      <c r="H2" s="163"/>
      <c r="I2" s="164"/>
    </row>
    <row r="3" spans="2:9" x14ac:dyDescent="0.35">
      <c r="F3" s="165"/>
      <c r="G3" s="166"/>
      <c r="H3" s="166"/>
      <c r="I3" s="167"/>
    </row>
    <row r="4" spans="2:9" x14ac:dyDescent="0.35">
      <c r="B4" s="62" t="s">
        <v>12</v>
      </c>
      <c r="D4" s="70"/>
      <c r="F4" s="165"/>
      <c r="G4" s="166"/>
      <c r="H4" s="166"/>
      <c r="I4" s="167"/>
    </row>
    <row r="5" spans="2:9" x14ac:dyDescent="0.35">
      <c r="F5" s="165"/>
      <c r="G5" s="166"/>
      <c r="H5" s="166"/>
      <c r="I5" s="167"/>
    </row>
    <row r="6" spans="2:9" x14ac:dyDescent="0.35">
      <c r="B6" s="62" t="s">
        <v>13</v>
      </c>
      <c r="D6" s="70"/>
      <c r="F6" s="165"/>
      <c r="G6" s="166"/>
      <c r="H6" s="166"/>
      <c r="I6" s="167"/>
    </row>
    <row r="7" spans="2:9" x14ac:dyDescent="0.35">
      <c r="F7" s="165"/>
      <c r="G7" s="166"/>
      <c r="H7" s="166"/>
      <c r="I7" s="167"/>
    </row>
    <row r="8" spans="2:9" x14ac:dyDescent="0.35">
      <c r="B8" s="62" t="s">
        <v>14</v>
      </c>
      <c r="D8" s="70"/>
      <c r="F8" s="165"/>
      <c r="G8" s="166"/>
      <c r="H8" s="166"/>
      <c r="I8" s="167"/>
    </row>
    <row r="9" spans="2:9" ht="16" thickBot="1" x14ac:dyDescent="0.4">
      <c r="F9" s="168"/>
      <c r="G9" s="169"/>
      <c r="H9" s="169"/>
      <c r="I9" s="170"/>
    </row>
    <row r="10" spans="2:9" ht="15" thickBot="1" x14ac:dyDescent="0.4">
      <c r="B10" s="171" t="s">
        <v>15</v>
      </c>
      <c r="C10" s="172"/>
      <c r="D10" s="173"/>
    </row>
    <row r="12" spans="2:9" ht="61" customHeight="1" x14ac:dyDescent="0.35">
      <c r="B12" s="6" t="s">
        <v>16</v>
      </c>
      <c r="D12" s="65"/>
    </row>
    <row r="14" spans="2:9" x14ac:dyDescent="0.35">
      <c r="B14" s="62" t="s">
        <v>17</v>
      </c>
      <c r="D14" s="70"/>
    </row>
    <row r="16" spans="2:9" x14ac:dyDescent="0.35">
      <c r="B16" s="62" t="s">
        <v>18</v>
      </c>
      <c r="D16" s="70"/>
      <c r="F16" s="13" t="str">
        <f>IF(D16="Y","Describe remote location","")</f>
        <v/>
      </c>
      <c r="H16" s="71"/>
    </row>
    <row r="18" spans="2:8" x14ac:dyDescent="0.35">
      <c r="B18" s="6" t="s">
        <v>19</v>
      </c>
      <c r="D18" s="70"/>
      <c r="F18" s="6" t="s">
        <v>20</v>
      </c>
      <c r="H18" s="70"/>
    </row>
    <row r="19" spans="2:8" x14ac:dyDescent="0.35">
      <c r="B19" s="7"/>
    </row>
    <row r="20" spans="2:8" x14ac:dyDescent="0.35">
      <c r="B20" s="6" t="s">
        <v>21</v>
      </c>
      <c r="D20" s="70"/>
    </row>
    <row r="21" spans="2:8" ht="16" thickBot="1" x14ac:dyDescent="0.4">
      <c r="B21" s="7"/>
    </row>
    <row r="22" spans="2:8" ht="15" thickBot="1" x14ac:dyDescent="0.4">
      <c r="B22" s="171" t="s">
        <v>22</v>
      </c>
      <c r="C22" s="172"/>
      <c r="D22" s="173"/>
    </row>
    <row r="23" spans="2:8" x14ac:dyDescent="0.35">
      <c r="B23" s="7"/>
    </row>
    <row r="24" spans="2:8" x14ac:dyDescent="0.35">
      <c r="B24" s="8" t="s">
        <v>23</v>
      </c>
      <c r="D24" s="70"/>
    </row>
    <row r="25" spans="2:8" x14ac:dyDescent="0.35">
      <c r="B25" s="9"/>
    </row>
    <row r="26" spans="2:8" x14ac:dyDescent="0.35">
      <c r="B26" s="8" t="s">
        <v>24</v>
      </c>
      <c r="D26" s="70"/>
    </row>
    <row r="27" spans="2:8" x14ac:dyDescent="0.35">
      <c r="B27" s="9"/>
    </row>
    <row r="28" spans="2:8" x14ac:dyDescent="0.35">
      <c r="B28" s="6" t="s">
        <v>25</v>
      </c>
      <c r="D28" s="70"/>
      <c r="F28" s="13" t="str">
        <f>IF(D28='Data lists'!E2,"Detail any vacant property management in place","")</f>
        <v/>
      </c>
    </row>
    <row r="29" spans="2:8" x14ac:dyDescent="0.35">
      <c r="B29" s="7"/>
    </row>
    <row r="30" spans="2:8" ht="31" x14ac:dyDescent="0.35">
      <c r="B30" s="6" t="s">
        <v>26</v>
      </c>
      <c r="D30" s="70"/>
      <c r="F30" s="13" t="str">
        <f>IF(D30="Y","Describe why building is designated as critical","")</f>
        <v/>
      </c>
      <c r="H30" s="71"/>
    </row>
    <row r="31" spans="2:8" x14ac:dyDescent="0.35">
      <c r="B31" s="7"/>
    </row>
    <row r="32" spans="2:8" x14ac:dyDescent="0.35">
      <c r="B32" s="6" t="s">
        <v>27</v>
      </c>
      <c r="D32" s="70"/>
    </row>
    <row r="33" spans="2:8" x14ac:dyDescent="0.35">
      <c r="B33" s="7"/>
    </row>
    <row r="34" spans="2:8" x14ac:dyDescent="0.35">
      <c r="B34" s="6" t="s">
        <v>28</v>
      </c>
      <c r="D34" s="70"/>
      <c r="F34" s="13" t="str">
        <f>IF(D34="","",IF(D34='Data lists'!G2,"Year of Lease Expiry/Lease Breaks",IF('Building Description'!D34='Data lists'!G5,"Provide detail",IF(D34='Data lists'!G1,"",IF('Building Description'!D34='Data lists'!G3,"",IF('Building Description'!D34='Data lists'!G4,""))))))</f>
        <v/>
      </c>
      <c r="H34" s="71"/>
    </row>
    <row r="35" spans="2:8" x14ac:dyDescent="0.35">
      <c r="B35" s="7"/>
    </row>
    <row r="36" spans="2:8" x14ac:dyDescent="0.35">
      <c r="B36" s="6" t="s">
        <v>29</v>
      </c>
      <c r="D36" s="70"/>
      <c r="F36" s="13" t="str">
        <f>IF(D36="Y","Contact details will be provided as appropriate","")</f>
        <v/>
      </c>
    </row>
    <row r="37" spans="2:8" x14ac:dyDescent="0.35">
      <c r="B37" s="7"/>
    </row>
    <row r="38" spans="2:8" x14ac:dyDescent="0.35">
      <c r="B38" s="6" t="s">
        <v>30</v>
      </c>
      <c r="D38" s="70"/>
    </row>
    <row r="39" spans="2:8" x14ac:dyDescent="0.35">
      <c r="B39" s="7"/>
    </row>
    <row r="40" spans="2:8" x14ac:dyDescent="0.35">
      <c r="B40" s="6" t="s">
        <v>31</v>
      </c>
      <c r="D40" s="70"/>
      <c r="F40" s="13" t="str">
        <f>IF(D40="Y","Provide Detail","")</f>
        <v/>
      </c>
      <c r="H40" s="71"/>
    </row>
    <row r="41" spans="2:8" x14ac:dyDescent="0.35">
      <c r="B41" s="7"/>
    </row>
    <row r="42" spans="2:8" x14ac:dyDescent="0.35">
      <c r="B42" s="6" t="s">
        <v>32</v>
      </c>
      <c r="D42" s="70">
        <v>5</v>
      </c>
    </row>
    <row r="43" spans="2:8" x14ac:dyDescent="0.35">
      <c r="B43" s="7"/>
    </row>
    <row r="44" spans="2:8" x14ac:dyDescent="0.35">
      <c r="B44" s="6" t="s">
        <v>33</v>
      </c>
      <c r="D44" s="70"/>
    </row>
    <row r="45" spans="2:8" x14ac:dyDescent="0.35">
      <c r="B45" s="7"/>
    </row>
    <row r="46" spans="2:8" x14ac:dyDescent="0.35">
      <c r="B46" s="6" t="s">
        <v>34</v>
      </c>
      <c r="D46" s="70">
        <v>5</v>
      </c>
    </row>
    <row r="47" spans="2:8" x14ac:dyDescent="0.35">
      <c r="B47" s="7"/>
      <c r="D47" s="71"/>
    </row>
    <row r="48" spans="2:8" ht="46.5" x14ac:dyDescent="0.35">
      <c r="B48" s="6" t="s">
        <v>35</v>
      </c>
      <c r="D48" s="70"/>
      <c r="F48" s="13" t="str">
        <f>IF(D48="Y","Detail","")</f>
        <v/>
      </c>
      <c r="H48" s="71"/>
    </row>
    <row r="49" spans="2:8" x14ac:dyDescent="0.35">
      <c r="B49" s="7"/>
    </row>
    <row r="50" spans="2:8" x14ac:dyDescent="0.35">
      <c r="B50" s="6" t="s">
        <v>37</v>
      </c>
      <c r="D50" s="70"/>
    </row>
    <row r="51" spans="2:8" x14ac:dyDescent="0.35">
      <c r="B51" s="7"/>
    </row>
    <row r="52" spans="2:8" x14ac:dyDescent="0.35">
      <c r="B52" s="6" t="s">
        <v>38</v>
      </c>
      <c r="D52" s="70"/>
    </row>
    <row r="53" spans="2:8" x14ac:dyDescent="0.35">
      <c r="B53" s="7"/>
    </row>
    <row r="54" spans="2:8" x14ac:dyDescent="0.35">
      <c r="B54" s="3" t="s">
        <v>39</v>
      </c>
      <c r="C54" s="111"/>
      <c r="D54" s="112"/>
      <c r="E54" s="111"/>
      <c r="F54" s="111" t="str">
        <f>IF(D54="N","Specify where contractors should park","")</f>
        <v/>
      </c>
      <c r="G54" s="111"/>
      <c r="H54" s="113"/>
    </row>
    <row r="55" spans="2:8" x14ac:dyDescent="0.35">
      <c r="B55" s="7"/>
    </row>
    <row r="56" spans="2:8" x14ac:dyDescent="0.35">
      <c r="B56" s="3" t="s">
        <v>40</v>
      </c>
      <c r="D56" s="70"/>
      <c r="F56" s="13" t="str">
        <f>IF(D56="Y","Applications made to:","")</f>
        <v/>
      </c>
      <c r="H56" s="71"/>
    </row>
    <row r="57" spans="2:8" ht="14.5" x14ac:dyDescent="0.35">
      <c r="B57" s="14"/>
    </row>
    <row r="58" spans="2:8" ht="34.5" customHeight="1" x14ac:dyDescent="0.35">
      <c r="B58" s="3" t="s">
        <v>41</v>
      </c>
      <c r="D58" s="70"/>
      <c r="F58" s="4" t="str">
        <f>IF(D58&gt;0,"Detail any enhanced security clearance for specified services / areas","")</f>
        <v/>
      </c>
      <c r="H58" s="71"/>
    </row>
    <row r="59" spans="2:8" ht="14.5" x14ac:dyDescent="0.35">
      <c r="B59" s="14"/>
    </row>
    <row r="60" spans="2:8" ht="31" x14ac:dyDescent="0.35">
      <c r="B60" s="3" t="s">
        <v>42</v>
      </c>
      <c r="D60" s="70"/>
      <c r="F60" s="13" t="str">
        <f>IF(D60="Y","Detail","")</f>
        <v/>
      </c>
    </row>
    <row r="61" spans="2:8" x14ac:dyDescent="0.35">
      <c r="B61" s="7"/>
    </row>
    <row r="62" spans="2:8" x14ac:dyDescent="0.35">
      <c r="B62" s="3" t="s">
        <v>43</v>
      </c>
      <c r="D62" s="70"/>
    </row>
    <row r="63" spans="2:8" x14ac:dyDescent="0.35">
      <c r="B63" s="4"/>
    </row>
    <row r="64" spans="2:8" ht="14.5" x14ac:dyDescent="0.35">
      <c r="B64" s="18" t="s">
        <v>44</v>
      </c>
      <c r="D64" s="70"/>
      <c r="F64" s="13" t="str">
        <f>IF(D64="Y","Number, access arrangements etc.","")</f>
        <v/>
      </c>
      <c r="H64" s="71"/>
    </row>
    <row r="65" spans="2:8" ht="14.5" x14ac:dyDescent="0.35">
      <c r="B65" s="13"/>
    </row>
    <row r="66" spans="2:8" ht="31" x14ac:dyDescent="0.35">
      <c r="B66" s="3" t="s">
        <v>45</v>
      </c>
      <c r="D66" s="70"/>
      <c r="F66" s="13" t="str">
        <f>IF(D66="Y","How many kitchens / kitchenettes are there","")</f>
        <v/>
      </c>
      <c r="H66" s="71"/>
    </row>
    <row r="67" spans="2:8" x14ac:dyDescent="0.35">
      <c r="B67" s="4"/>
    </row>
    <row r="68" spans="2:8" x14ac:dyDescent="0.35">
      <c r="B68" s="4" t="str">
        <f>IF(D66="Y","Locations","")</f>
        <v/>
      </c>
      <c r="D68" s="71"/>
    </row>
    <row r="69" spans="2:8" x14ac:dyDescent="0.35">
      <c r="B69" s="4"/>
    </row>
    <row r="70" spans="2:8" x14ac:dyDescent="0.35">
      <c r="B70" s="62" t="s">
        <v>46</v>
      </c>
      <c r="D70" s="70"/>
      <c r="F70" s="13" t="str">
        <f>IF(D70="Y","Are toilets gender neutral","")</f>
        <v/>
      </c>
      <c r="H70" s="71"/>
    </row>
    <row r="72" spans="2:8" ht="14.5" x14ac:dyDescent="0.35">
      <c r="B72" s="13" t="str">
        <f>IF(H70="Y","How many gender neutral toilets are there","")&amp;IF(H70="Both","How many gender neutral toilets are there","")</f>
        <v/>
      </c>
      <c r="D72" s="71"/>
      <c r="F72" s="13" t="str">
        <f>IF(H70="Y","Location","")&amp;IF(H70="both","Location","")</f>
        <v/>
      </c>
      <c r="H72" s="71"/>
    </row>
    <row r="74" spans="2:8" x14ac:dyDescent="0.35">
      <c r="B74" s="17" t="str">
        <f>IF(H70="N","How many male toilet blocks","")&amp;IF(H70="Both","How many male toilet blocks","")</f>
        <v/>
      </c>
      <c r="D74" s="71"/>
      <c r="F74" s="13" t="str">
        <f>IF(D74&gt;0,"Location","")</f>
        <v/>
      </c>
      <c r="H74" s="71"/>
    </row>
    <row r="76" spans="2:8" ht="14.5" x14ac:dyDescent="0.35">
      <c r="B76" s="13" t="str">
        <f>IF(D74&gt;0,"How many male toilet stalls","")</f>
        <v/>
      </c>
      <c r="D76" s="71"/>
    </row>
    <row r="78" spans="2:8" x14ac:dyDescent="0.35">
      <c r="B78" s="17" t="str">
        <f>IF(D74&gt;0,"How many urinals","")</f>
        <v/>
      </c>
      <c r="D78" s="71"/>
      <c r="F78" s="13" t="str">
        <f>IF(D74&gt;0,"Are urinals waterless","")</f>
        <v/>
      </c>
      <c r="H78" s="71"/>
    </row>
    <row r="80" spans="2:8" x14ac:dyDescent="0.35">
      <c r="B80" s="17" t="str">
        <f>IF(H70="N","How many female toilet blocks","")&amp;IF(H70="Both","How many female toilet blocks","")</f>
        <v/>
      </c>
      <c r="D80" s="71"/>
      <c r="F80" s="13" t="str">
        <f>IF(D80&gt;0,"Location","")</f>
        <v/>
      </c>
      <c r="H80" s="71"/>
    </row>
    <row r="82" spans="2:8" ht="14.5" x14ac:dyDescent="0.35">
      <c r="B82" s="13" t="str">
        <f>IF(D80&gt;0,"How many female toilet stalls","")</f>
        <v/>
      </c>
      <c r="D82" s="71"/>
    </row>
    <row r="84" spans="2:8" ht="31" x14ac:dyDescent="0.35">
      <c r="B84" s="62" t="s">
        <v>47</v>
      </c>
      <c r="D84" s="70"/>
    </row>
    <row r="86" spans="2:8" x14ac:dyDescent="0.35">
      <c r="B86" s="17" t="str">
        <f>IF(H70="N","How many accessable toilets are there","")</f>
        <v/>
      </c>
      <c r="D86" s="71"/>
      <c r="F86" s="13" t="str">
        <f>IF(D86&gt;0,"Location","")</f>
        <v/>
      </c>
      <c r="H86" s="71"/>
    </row>
    <row r="87" spans="2:8" ht="16" thickBot="1" x14ac:dyDescent="0.4"/>
    <row r="88" spans="2:8" ht="15" thickBot="1" x14ac:dyDescent="0.4">
      <c r="B88" s="171" t="s">
        <v>48</v>
      </c>
      <c r="C88" s="172"/>
      <c r="D88" s="174"/>
    </row>
    <row r="89" spans="2:8" ht="14.5" x14ac:dyDescent="0.35">
      <c r="B89" s="63"/>
      <c r="C89" s="63"/>
      <c r="D89" s="63"/>
    </row>
    <row r="90" spans="2:8" x14ac:dyDescent="0.35">
      <c r="B90" s="3" t="s">
        <v>49</v>
      </c>
      <c r="C90" s="63"/>
      <c r="D90" s="114"/>
      <c r="F90" s="13" t="str">
        <f>IF(D90="Y","Provide details and locations","")</f>
        <v/>
      </c>
      <c r="H90" s="71"/>
    </row>
    <row r="91" spans="2:8" x14ac:dyDescent="0.35">
      <c r="B91" s="4"/>
      <c r="C91" s="63"/>
      <c r="D91" s="115"/>
      <c r="F91" s="13" t="str">
        <f>IF(D91="Y","Provide details and locations","")</f>
        <v/>
      </c>
    </row>
    <row r="92" spans="2:8" x14ac:dyDescent="0.35">
      <c r="B92" s="3" t="s">
        <v>50</v>
      </c>
      <c r="C92" s="63"/>
      <c r="D92" s="114"/>
      <c r="F92" s="13" t="str">
        <f>IF(D92="Y","Provide details and locations","")</f>
        <v/>
      </c>
      <c r="H92" s="71"/>
    </row>
    <row r="93" spans="2:8" x14ac:dyDescent="0.35">
      <c r="B93" s="4"/>
      <c r="C93" s="63"/>
      <c r="D93" s="115"/>
    </row>
    <row r="94" spans="2:8" ht="31" x14ac:dyDescent="0.35">
      <c r="B94" s="3" t="s">
        <v>51</v>
      </c>
      <c r="C94" s="63"/>
      <c r="D94" s="114"/>
      <c r="F94" s="13" t="str">
        <f>IF(D94="Y","Provide details and locations","")</f>
        <v/>
      </c>
      <c r="H94" s="71"/>
    </row>
    <row r="95" spans="2:8" x14ac:dyDescent="0.35">
      <c r="B95" s="4"/>
      <c r="C95" s="63"/>
      <c r="D95" s="115"/>
    </row>
    <row r="96" spans="2:8" x14ac:dyDescent="0.35">
      <c r="B96" s="3" t="s">
        <v>52</v>
      </c>
      <c r="D96" s="114"/>
      <c r="F96" s="13" t="str">
        <f>IF(D96="Y","Provide details and locations (https://www.hse.gov.uk/comah/sragtech/techmeasareaclas.htm)","")</f>
        <v/>
      </c>
      <c r="H96" s="71"/>
    </row>
    <row r="97" spans="2:8" ht="14.5" x14ac:dyDescent="0.35">
      <c r="B97" s="14"/>
      <c r="D97" s="115"/>
    </row>
    <row r="98" spans="2:8" x14ac:dyDescent="0.35">
      <c r="B98" s="62" t="s">
        <v>53</v>
      </c>
      <c r="D98" s="114"/>
      <c r="F98" s="13" t="str">
        <f>IF(D98="Y","Details","")</f>
        <v/>
      </c>
      <c r="H98" s="71"/>
    </row>
    <row r="99" spans="2:8" x14ac:dyDescent="0.35">
      <c r="D99" s="115"/>
    </row>
    <row r="100" spans="2:8" x14ac:dyDescent="0.35">
      <c r="B100" s="6" t="s">
        <v>54</v>
      </c>
      <c r="D100" s="114"/>
      <c r="F100" s="13" t="str">
        <f>IF(D100="Y","Contact details will be provided as appropriate","")</f>
        <v/>
      </c>
    </row>
    <row r="101" spans="2:8" ht="16" thickBot="1" x14ac:dyDescent="0.4"/>
    <row r="102" spans="2:8" ht="15" thickBot="1" x14ac:dyDescent="0.4">
      <c r="B102" s="171" t="s">
        <v>55</v>
      </c>
      <c r="C102" s="172"/>
      <c r="D102" s="173"/>
    </row>
    <row r="103" spans="2:8" x14ac:dyDescent="0.35">
      <c r="B103" s="110"/>
    </row>
    <row r="104" spans="2:8" ht="31" x14ac:dyDescent="0.35">
      <c r="B104" s="3" t="s">
        <v>56</v>
      </c>
      <c r="D104" s="70"/>
    </row>
    <row r="105" spans="2:8" x14ac:dyDescent="0.35">
      <c r="B105" s="4"/>
    </row>
    <row r="106" spans="2:8" x14ac:dyDescent="0.35">
      <c r="B106" s="3" t="s">
        <v>57</v>
      </c>
      <c r="D106" s="70"/>
    </row>
    <row r="107" spans="2:8" x14ac:dyDescent="0.35">
      <c r="B107" s="4"/>
    </row>
    <row r="108" spans="2:8" x14ac:dyDescent="0.35">
      <c r="B108" s="3" t="s">
        <v>58</v>
      </c>
      <c r="D108" s="70"/>
      <c r="F108" s="13" t="str">
        <f>IF(D108="Y","Details","")</f>
        <v/>
      </c>
      <c r="H108" s="71"/>
    </row>
    <row r="109" spans="2:8" x14ac:dyDescent="0.35">
      <c r="B109" s="4"/>
      <c r="F109" s="13" t="str">
        <f>IF(D109="Y","provide details","")</f>
        <v/>
      </c>
    </row>
    <row r="110" spans="2:8" x14ac:dyDescent="0.35">
      <c r="B110" s="3" t="s">
        <v>59</v>
      </c>
      <c r="D110" s="70"/>
      <c r="F110" s="13" t="str">
        <f>IF(D110="Y","Details","")</f>
        <v/>
      </c>
      <c r="H110" s="71"/>
    </row>
    <row r="111" spans="2:8" x14ac:dyDescent="0.35">
      <c r="B111" s="4"/>
    </row>
    <row r="112" spans="2:8" x14ac:dyDescent="0.35">
      <c r="B112" s="3" t="s">
        <v>60</v>
      </c>
      <c r="D112" s="70"/>
    </row>
    <row r="113" spans="2:8" x14ac:dyDescent="0.35">
      <c r="B113" s="4"/>
    </row>
    <row r="114" spans="2:8" x14ac:dyDescent="0.35">
      <c r="B114" s="3" t="s">
        <v>61</v>
      </c>
      <c r="D114" s="70"/>
    </row>
    <row r="115" spans="2:8" x14ac:dyDescent="0.35">
      <c r="B115" s="4"/>
    </row>
    <row r="116" spans="2:8" x14ac:dyDescent="0.35">
      <c r="B116" s="3" t="s">
        <v>62</v>
      </c>
      <c r="D116" s="70"/>
    </row>
    <row r="117" spans="2:8" x14ac:dyDescent="0.35">
      <c r="B117" s="4"/>
    </row>
    <row r="118" spans="2:8" x14ac:dyDescent="0.35">
      <c r="B118" s="3" t="s">
        <v>63</v>
      </c>
      <c r="D118" s="70"/>
    </row>
    <row r="119" spans="2:8" x14ac:dyDescent="0.35">
      <c r="B119" s="4"/>
    </row>
    <row r="120" spans="2:8" x14ac:dyDescent="0.35">
      <c r="B120" s="3" t="s">
        <v>64</v>
      </c>
      <c r="D120" s="70"/>
    </row>
    <row r="121" spans="2:8" x14ac:dyDescent="0.35">
      <c r="B121" s="4"/>
    </row>
    <row r="122" spans="2:8" x14ac:dyDescent="0.35">
      <c r="B122" s="3" t="s">
        <v>65</v>
      </c>
      <c r="D122" s="70"/>
    </row>
    <row r="123" spans="2:8" x14ac:dyDescent="0.35">
      <c r="B123" s="4"/>
    </row>
    <row r="124" spans="2:8" x14ac:dyDescent="0.35">
      <c r="B124" s="3" t="s">
        <v>66</v>
      </c>
      <c r="D124" s="70"/>
      <c r="F124" s="13" t="str">
        <f>IF(D124="Y","Codes will be provided as apprpriate","")</f>
        <v/>
      </c>
    </row>
    <row r="125" spans="2:8" ht="16" thickBot="1" x14ac:dyDescent="0.4">
      <c r="B125" s="4"/>
    </row>
    <row r="126" spans="2:8" ht="15" thickBot="1" x14ac:dyDescent="0.4">
      <c r="B126" s="171" t="s">
        <v>67</v>
      </c>
      <c r="C126" s="172"/>
      <c r="D126" s="173"/>
    </row>
    <row r="127" spans="2:8" x14ac:dyDescent="0.35">
      <c r="B127" s="110"/>
      <c r="D127" s="4"/>
    </row>
    <row r="128" spans="2:8" x14ac:dyDescent="0.35">
      <c r="B128" s="3" t="s">
        <v>68</v>
      </c>
      <c r="D128" s="70"/>
      <c r="F128" s="4" t="str">
        <f>IF(D128="Y","Date conducted","")</f>
        <v/>
      </c>
      <c r="H128" s="71"/>
    </row>
    <row r="129" spans="2:8" x14ac:dyDescent="0.35">
      <c r="B129" s="110"/>
    </row>
    <row r="130" spans="2:8" x14ac:dyDescent="0.35">
      <c r="B130" s="3" t="s">
        <v>69</v>
      </c>
      <c r="D130" s="70"/>
      <c r="F130" s="4" t="str">
        <f>IF(D130="Y","Frequency","")</f>
        <v/>
      </c>
      <c r="H130" s="71"/>
    </row>
    <row r="131" spans="2:8" x14ac:dyDescent="0.35">
      <c r="B131" s="110"/>
    </row>
    <row r="132" spans="2:8" ht="45" customHeight="1" x14ac:dyDescent="0.35">
      <c r="B132" s="4" t="str">
        <f>IF(D130="Y","Specify what should be covered, e.g. M&amp;E, Building Fabric, specific areas, whole property","")</f>
        <v/>
      </c>
      <c r="D132" s="71"/>
      <c r="F132" s="4" t="str">
        <f>IF(D130="Y","Standard required (RICS or CIBSE etc.)","")</f>
        <v/>
      </c>
      <c r="H132" s="71"/>
    </row>
    <row r="133" spans="2:8" x14ac:dyDescent="0.35">
      <c r="B133" s="110"/>
    </row>
    <row r="135" spans="2:8" x14ac:dyDescent="0.35">
      <c r="B135" s="110"/>
    </row>
  </sheetData>
  <sheetProtection algorithmName="SHA-512" hashValue="ifGYzrq5WjtlWkgjFisRZVsbSytbwV/YKE9WTMkZppPpDdEcPnzHhu7L1ypvkbZmMa9p3VHL8oHRq/1XwG4Twg==" saltValue="f3QAjE8gR10WSP6DBxXmOw==" spinCount="100000" sheet="1" insertHyperlinks="0" autoFilter="0"/>
  <mergeCells count="8">
    <mergeCell ref="F2:I2"/>
    <mergeCell ref="F3:I9"/>
    <mergeCell ref="B102:D102"/>
    <mergeCell ref="B126:D126"/>
    <mergeCell ref="B2:D2"/>
    <mergeCell ref="B88:D88"/>
    <mergeCell ref="B10:D10"/>
    <mergeCell ref="B22:D22"/>
  </mergeCells>
  <conditionalFormatting sqref="F40 H40">
    <cfRule type="expression" dxfId="659" priority="35">
      <formula>$D$40="Y"</formula>
    </cfRule>
  </conditionalFormatting>
  <conditionalFormatting sqref="F54 H54">
    <cfRule type="expression" dxfId="658" priority="34">
      <formula>$D$54="N"</formula>
    </cfRule>
  </conditionalFormatting>
  <conditionalFormatting sqref="F36 F126 H126">
    <cfRule type="expression" dxfId="657" priority="33">
      <formula>$D$36="Y"</formula>
    </cfRule>
  </conditionalFormatting>
  <conditionalFormatting sqref="F100">
    <cfRule type="expression" dxfId="656" priority="32">
      <formula>$D$100="Y"</formula>
    </cfRule>
  </conditionalFormatting>
  <conditionalFormatting sqref="F16 H16">
    <cfRule type="expression" dxfId="655" priority="31">
      <formula>$D$16="Y"</formula>
    </cfRule>
  </conditionalFormatting>
  <conditionalFormatting sqref="F30 H30">
    <cfRule type="expression" dxfId="654" priority="30">
      <formula>$D$30="Y"</formula>
    </cfRule>
  </conditionalFormatting>
  <conditionalFormatting sqref="F56 H56">
    <cfRule type="expression" dxfId="653" priority="29">
      <formula>$D$56="Y"</formula>
    </cfRule>
  </conditionalFormatting>
  <conditionalFormatting sqref="H90:H99 F90:F100">
    <cfRule type="expression" dxfId="652" priority="28">
      <formula>$D90="Y"</formula>
    </cfRule>
  </conditionalFormatting>
  <conditionalFormatting sqref="F128 H128">
    <cfRule type="expression" dxfId="651" priority="19">
      <formula>$D$128="Y"</formula>
    </cfRule>
  </conditionalFormatting>
  <conditionalFormatting sqref="F130 H130 F132 H132 B132 D132">
    <cfRule type="expression" dxfId="650" priority="18">
      <formula>$D$130="Y"</formula>
    </cfRule>
  </conditionalFormatting>
  <conditionalFormatting sqref="F58 H58">
    <cfRule type="expression" dxfId="649" priority="17">
      <formula>$D$58&gt;0</formula>
    </cfRule>
  </conditionalFormatting>
  <conditionalFormatting sqref="F64 H64">
    <cfRule type="expression" dxfId="648" priority="15">
      <formula>$D$64="Y"</formula>
    </cfRule>
  </conditionalFormatting>
  <conditionalFormatting sqref="F66 H66 B68 D68">
    <cfRule type="expression" dxfId="647" priority="14">
      <formula>$D$66="Y"</formula>
    </cfRule>
  </conditionalFormatting>
  <conditionalFormatting sqref="H70 F70">
    <cfRule type="expression" dxfId="646" priority="13">
      <formula>$D$70="Y"</formula>
    </cfRule>
  </conditionalFormatting>
  <conditionalFormatting sqref="B72 D72 F72 H72">
    <cfRule type="expression" dxfId="645" priority="3">
      <formula>$H$70="Both"</formula>
    </cfRule>
    <cfRule type="expression" dxfId="644" priority="12">
      <formula>$H$70="Y"</formula>
    </cfRule>
  </conditionalFormatting>
  <conditionalFormatting sqref="B74 D74 B80 D80 B86 D86">
    <cfRule type="expression" dxfId="643" priority="11">
      <formula>$H$70="N"</formula>
    </cfRule>
  </conditionalFormatting>
  <conditionalFormatting sqref="F74 H74 B76 D76 B78 D78 F78 H78">
    <cfRule type="expression" dxfId="642" priority="10">
      <formula>$D$74&gt;0</formula>
    </cfRule>
  </conditionalFormatting>
  <conditionalFormatting sqref="F80 H80 B82 D82">
    <cfRule type="expression" dxfId="641" priority="9">
      <formula>$D$80&gt;0</formula>
    </cfRule>
  </conditionalFormatting>
  <conditionalFormatting sqref="F86 H86">
    <cfRule type="expression" dxfId="640" priority="8">
      <formula>$D$86&gt;0</formula>
    </cfRule>
  </conditionalFormatting>
  <conditionalFormatting sqref="F108 H108">
    <cfRule type="expression" dxfId="639" priority="7">
      <formula>$D$108="Y"</formula>
    </cfRule>
  </conditionalFormatting>
  <conditionalFormatting sqref="F110 H110">
    <cfRule type="expression" dxfId="638" priority="6">
      <formula>$D$110="Y"</formula>
    </cfRule>
  </conditionalFormatting>
  <conditionalFormatting sqref="F124">
    <cfRule type="expression" dxfId="637" priority="5">
      <formula>$D$124="Y"</formula>
    </cfRule>
  </conditionalFormatting>
  <conditionalFormatting sqref="F60 H60">
    <cfRule type="expression" dxfId="636" priority="4">
      <formula>$D$60="Y"</formula>
    </cfRule>
  </conditionalFormatting>
  <conditionalFormatting sqref="B74 D74 B80 D80">
    <cfRule type="expression" dxfId="635" priority="2">
      <formula>$H$70="Both"</formula>
    </cfRule>
  </conditionalFormatting>
  <conditionalFormatting sqref="F48 H48">
    <cfRule type="expression" dxfId="634" priority="1">
      <formula>$D$48="Y"</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6" id="{FBB437BF-27F1-4E0B-947C-B0F5913B55D7}">
            <xm:f>$D$34='Data lists'!$G$5</xm:f>
            <x14:dxf>
              <border>
                <left style="thin">
                  <color auto="1"/>
                </left>
                <right style="thin">
                  <color auto="1"/>
                </right>
                <top style="thin">
                  <color auto="1"/>
                </top>
                <bottom style="thin">
                  <color auto="1"/>
                </bottom>
                <vertical/>
                <horizontal/>
              </border>
            </x14:dxf>
          </x14:cfRule>
          <x14:cfRule type="expression" priority="37" id="{E6C92A36-9EB2-4CFB-9138-6091534FB546}">
            <xm:f>$D$34='Data lists'!$G$2</xm:f>
            <x14:dxf>
              <border>
                <left style="thin">
                  <color auto="1"/>
                </left>
                <right style="thin">
                  <color auto="1"/>
                </right>
                <top style="thin">
                  <color auto="1"/>
                </top>
                <bottom style="thin">
                  <color auto="1"/>
                </bottom>
                <vertical/>
                <horizontal/>
              </border>
            </x14:dxf>
          </x14:cfRule>
          <xm:sqref>F34 H34</xm:sqref>
        </x14:conditionalFormatting>
        <x14:conditionalFormatting xmlns:xm="http://schemas.microsoft.com/office/excel/2006/main">
          <x14:cfRule type="expression" priority="16" id="{945A20B5-36AB-4F53-AE13-60ADCAB5AD8E}">
            <xm:f>$D$28='Data lists'!$E$2</xm:f>
            <x14:dxf>
              <border>
                <left style="thin">
                  <color auto="1"/>
                </left>
                <right style="thin">
                  <color auto="1"/>
                </right>
                <top style="thin">
                  <color auto="1"/>
                </top>
                <bottom style="thin">
                  <color auto="1"/>
                </bottom>
                <vertical/>
                <horizontal/>
              </border>
            </x14:dxf>
          </x14:cfRule>
          <xm:sqref>F28 H28</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F98BA01C-6678-45F1-AE70-FAC3A7E84C29}">
          <x14:formula1>
            <xm:f>'Data lists'!$A$1:$A$9</xm:f>
          </x14:formula1>
          <xm:sqref>D4</xm:sqref>
        </x14:dataValidation>
        <x14:dataValidation type="list" allowBlank="1" showInputMessage="1" showErrorMessage="1" xr:uid="{8DA248AB-89AC-4142-8469-811C66D15414}">
          <x14:formula1>
            <xm:f>'Data lists'!$C$1:$C$2</xm:f>
          </x14:formula1>
          <xm:sqref>D16 D20 D30 D36 D40 D54 D100 D56 D90 D92 D94 D96 D98 D128 D130 D60 D64 D66 D70 D124 D84 D108 D110 D48</xm:sqref>
        </x14:dataValidation>
        <x14:dataValidation type="list" allowBlank="1" showInputMessage="1" showErrorMessage="1" xr:uid="{11DAD8B2-A0FF-4D7B-A0F6-A99EEFA8D971}">
          <x14:formula1>
            <xm:f>'Data lists'!$D$1:$D$6</xm:f>
          </x14:formula1>
          <xm:sqref>D26</xm:sqref>
        </x14:dataValidation>
        <x14:dataValidation type="list" allowBlank="1" showInputMessage="1" showErrorMessage="1" xr:uid="{9860582D-3A5D-4FB5-8BF6-9A1856FC3B3D}">
          <x14:formula1>
            <xm:f>'Data lists'!$E$1:$E$4</xm:f>
          </x14:formula1>
          <xm:sqref>D28</xm:sqref>
        </x14:dataValidation>
        <x14:dataValidation type="list" allowBlank="1" showInputMessage="1" showErrorMessage="1" xr:uid="{8D940DF4-5CF7-43E8-A06F-9AEC524C13E1}">
          <x14:formula1>
            <xm:f>'Data lists'!$F$1:$F$12</xm:f>
          </x14:formula1>
          <xm:sqref>D32</xm:sqref>
        </x14:dataValidation>
        <x14:dataValidation type="list" allowBlank="1" showInputMessage="1" showErrorMessage="1" xr:uid="{12FDD15C-30C8-4108-A7FB-064F712879B7}">
          <x14:formula1>
            <xm:f>'Data lists'!$G$1:$G$6</xm:f>
          </x14:formula1>
          <xm:sqref>D34</xm:sqref>
        </x14:dataValidation>
        <x14:dataValidation type="list" allowBlank="1" showInputMessage="1" showErrorMessage="1" xr:uid="{AE2F7CE0-970D-4E65-853D-3188D534E54B}">
          <x14:formula1>
            <xm:f>'Data lists'!$H$1:$H$4</xm:f>
          </x14:formula1>
          <xm:sqref>D38:D39</xm:sqref>
        </x14:dataValidation>
        <x14:dataValidation type="list" allowBlank="1" showInputMessage="1" showErrorMessage="1" xr:uid="{AC29CDD0-173D-46AD-9E4D-A84751879EC1}">
          <x14:formula1>
            <xm:f>'Data lists'!$B$1:$B$13</xm:f>
          </x14:formula1>
          <xm:sqref>D58</xm:sqref>
        </x14:dataValidation>
        <x14:dataValidation type="list" allowBlank="1" showInputMessage="1" showErrorMessage="1" xr:uid="{7C0C19B7-8C66-4A1C-95E4-D6EBFA9358DF}">
          <x14:formula1>
            <xm:f>'Data lists'!$T$1:$T$3</xm:f>
          </x14:formula1>
          <xm:sqref>H70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F050-3FAC-4C1C-A0C4-757309227ED2}">
  <sheetPr>
    <tabColor rgb="FF92D050"/>
  </sheetPr>
  <dimension ref="B1:J232"/>
  <sheetViews>
    <sheetView showGridLines="0" zoomScaleNormal="100" workbookViewId="0">
      <pane xSplit="1" ySplit="9" topLeftCell="B10" activePane="bottomRight" state="frozen"/>
      <selection pane="topRight" activeCell="G12" sqref="G12"/>
      <selection pane="bottomLeft" activeCell="G12" sqref="G12"/>
      <selection pane="bottomRight" activeCell="D132" sqref="D132"/>
    </sheetView>
  </sheetViews>
  <sheetFormatPr defaultRowHeight="15.5" x14ac:dyDescent="0.35"/>
  <cols>
    <col min="1" max="1" width="3.7265625" customWidth="1"/>
    <col min="2" max="2" width="40.7265625" style="110" customWidth="1"/>
    <col min="3" max="3" width="3.7265625" style="13" customWidth="1"/>
    <col min="4" max="4" width="40.7265625" style="13" customWidth="1"/>
    <col min="5" max="5" width="3.7265625" style="13" customWidth="1"/>
    <col min="6" max="6" width="40.7265625" style="13" customWidth="1"/>
    <col min="7" max="7" width="3.7265625" style="13" customWidth="1"/>
    <col min="8" max="8" width="40.7265625" style="13" customWidth="1"/>
    <col min="9" max="9" width="20.7265625" style="13" customWidth="1"/>
    <col min="10" max="10" width="20.54296875" customWidth="1"/>
    <col min="11" max="11" width="3.7265625" customWidth="1"/>
    <col min="12" max="12" width="40.7265625" customWidth="1"/>
  </cols>
  <sheetData>
    <row r="1" spans="2:10" ht="16" thickBot="1" x14ac:dyDescent="0.4"/>
    <row r="2" spans="2:10" ht="16" thickBot="1" x14ac:dyDescent="0.4">
      <c r="B2" s="171" t="s">
        <v>10</v>
      </c>
      <c r="C2" s="172"/>
      <c r="D2" s="173"/>
      <c r="F2" s="162" t="s">
        <v>11</v>
      </c>
      <c r="G2" s="163"/>
      <c r="H2" s="163"/>
      <c r="I2" s="164"/>
    </row>
    <row r="3" spans="2:10" x14ac:dyDescent="0.35">
      <c r="F3" s="165"/>
      <c r="G3" s="166"/>
      <c r="H3" s="166"/>
      <c r="I3" s="167"/>
    </row>
    <row r="4" spans="2:10" x14ac:dyDescent="0.35">
      <c r="B4" s="40" t="s">
        <v>12</v>
      </c>
      <c r="D4" s="18" t="str">
        <f>IF('Building Description'!D4="","",'Building Description'!D4)</f>
        <v/>
      </c>
      <c r="F4" s="165"/>
      <c r="G4" s="166"/>
      <c r="H4" s="166"/>
      <c r="I4" s="167"/>
    </row>
    <row r="5" spans="2:10" x14ac:dyDescent="0.35">
      <c r="F5" s="165"/>
      <c r="G5" s="166"/>
      <c r="H5" s="166"/>
      <c r="I5" s="167"/>
    </row>
    <row r="6" spans="2:10" x14ac:dyDescent="0.35">
      <c r="B6" s="40" t="s">
        <v>13</v>
      </c>
      <c r="D6" s="18" t="str">
        <f>IF('Building Description'!D6="","",'Building Description'!D6)</f>
        <v/>
      </c>
      <c r="F6" s="165"/>
      <c r="G6" s="166"/>
      <c r="H6" s="166"/>
      <c r="I6" s="167"/>
    </row>
    <row r="7" spans="2:10" x14ac:dyDescent="0.35">
      <c r="F7" s="165"/>
      <c r="G7" s="166"/>
      <c r="H7" s="166"/>
      <c r="I7" s="167"/>
    </row>
    <row r="8" spans="2:10" x14ac:dyDescent="0.35">
      <c r="B8" s="40" t="s">
        <v>14</v>
      </c>
      <c r="D8" s="18" t="str">
        <f>IF('Building Description'!D8="","",'Building Description'!D8)</f>
        <v/>
      </c>
      <c r="F8" s="165"/>
      <c r="G8" s="166"/>
      <c r="H8" s="166"/>
      <c r="I8" s="167"/>
    </row>
    <row r="9" spans="2:10" ht="16" thickBot="1" x14ac:dyDescent="0.4">
      <c r="F9" s="168"/>
      <c r="G9" s="169"/>
      <c r="H9" s="169"/>
      <c r="I9" s="170"/>
    </row>
    <row r="10" spans="2:10" x14ac:dyDescent="0.35">
      <c r="B10" s="178" t="s">
        <v>70</v>
      </c>
      <c r="C10" s="178"/>
      <c r="D10" s="178"/>
    </row>
    <row r="12" spans="2:10" ht="22.5" customHeight="1" x14ac:dyDescent="0.35">
      <c r="B12" s="3" t="s">
        <v>71</v>
      </c>
      <c r="C12" s="110"/>
      <c r="D12" s="116"/>
      <c r="E12" s="110"/>
      <c r="F12" s="110" t="str">
        <f>IF(D12="Y","Responsibility for Asbestos sits with","")</f>
        <v/>
      </c>
      <c r="G12" s="110"/>
      <c r="H12" s="117"/>
      <c r="J12" t="str">
        <f>IF(H12='Data lists'!I1,"Go to row 44","")</f>
        <v/>
      </c>
    </row>
    <row r="14" spans="2:10" x14ac:dyDescent="0.35">
      <c r="B14" s="3" t="s">
        <v>72</v>
      </c>
      <c r="D14" s="70"/>
      <c r="F14" s="110" t="str">
        <f>IF(D14="Y","Responsibility for water sits with","")</f>
        <v/>
      </c>
      <c r="G14" s="110"/>
      <c r="H14" s="117"/>
      <c r="J14" t="str">
        <f>IF(H14='Data lists'!I1,"Go to row 52","")</f>
        <v/>
      </c>
    </row>
    <row r="16" spans="2:10" ht="33" customHeight="1" x14ac:dyDescent="0.35">
      <c r="B16" s="3" t="s">
        <v>73</v>
      </c>
      <c r="D16" s="70"/>
      <c r="F16" s="13" t="str">
        <f>IF(D16="Y","Responsibility for the electrical installation sits with:","")</f>
        <v/>
      </c>
      <c r="H16" s="117"/>
      <c r="J16" t="str">
        <f>IF(H16='Data lists'!I1,"Go to row 84","")</f>
        <v/>
      </c>
    </row>
    <row r="18" spans="2:10" ht="31" x14ac:dyDescent="0.35">
      <c r="B18" s="3" t="s">
        <v>74</v>
      </c>
      <c r="D18" s="70"/>
      <c r="F18" s="13" t="str">
        <f>IF(D18='Data lists'!I1,"Go to row 90","")</f>
        <v/>
      </c>
    </row>
    <row r="20" spans="2:10" x14ac:dyDescent="0.35">
      <c r="B20" s="3" t="s">
        <v>75</v>
      </c>
      <c r="D20" s="70"/>
      <c r="F20" s="13" t="str">
        <f>IF(D20="Y","Responsibility for the fire detection sits with:","")</f>
        <v/>
      </c>
      <c r="H20" s="117"/>
      <c r="J20" t="str">
        <f>IF(H20='Data lists'!I1,"Go to row 110","")</f>
        <v/>
      </c>
    </row>
    <row r="22" spans="2:10" s="13" customFormat="1" ht="29.25" customHeight="1" x14ac:dyDescent="0.35">
      <c r="B22" s="3" t="s">
        <v>76</v>
      </c>
      <c r="D22" s="70"/>
      <c r="F22" s="13" t="str">
        <f>IF(D22="Y","Responsibility for the firefighting equipment sits with:","")</f>
        <v/>
      </c>
      <c r="H22" s="117"/>
      <c r="J22" s="13" t="str">
        <f>IF(H22='Data lists'!I1,"Go to row 124","")</f>
        <v/>
      </c>
    </row>
    <row r="24" spans="2:10" ht="31.5" customHeight="1" x14ac:dyDescent="0.35">
      <c r="B24" s="3" t="s">
        <v>77</v>
      </c>
      <c r="D24" s="70"/>
      <c r="F24" s="13" t="str">
        <f>IF(D24="Y","Responsibility for the evacuation equipment sits with:","")</f>
        <v/>
      </c>
      <c r="H24" s="117"/>
      <c r="J24" t="str">
        <f>IF(H24='Data lists'!I1,"Go to row 136","")</f>
        <v/>
      </c>
    </row>
    <row r="26" spans="2:10" ht="31.5" customHeight="1" x14ac:dyDescent="0.35">
      <c r="B26" s="3" t="s">
        <v>78</v>
      </c>
      <c r="D26" s="70"/>
      <c r="F26" s="13" t="str">
        <f>IF(D26="Y","Responsibility for the heating equipment sits with:","")</f>
        <v/>
      </c>
      <c r="H26" s="117"/>
      <c r="J26" t="str">
        <f>IF(H26='Data lists'!I1,"Go to row 142","")</f>
        <v/>
      </c>
    </row>
    <row r="28" spans="2:10" ht="30" customHeight="1" x14ac:dyDescent="0.35">
      <c r="B28" s="3" t="s">
        <v>79</v>
      </c>
      <c r="D28" s="70"/>
      <c r="F28" s="13" t="str">
        <f>IF(D28="Y","Responsibility for the emergency lighting sits with:","")</f>
        <v/>
      </c>
      <c r="H28" s="117"/>
      <c r="J28" t="str">
        <f>IF(H28='Data lists'!I1, "Go to row 154","")</f>
        <v/>
      </c>
    </row>
    <row r="30" spans="2:10" ht="31" x14ac:dyDescent="0.35">
      <c r="B30" s="3" t="s">
        <v>80</v>
      </c>
      <c r="D30" s="70"/>
      <c r="F30" s="13" t="str">
        <f>IF(D30="Y","Responsibility for the lightening protection sits with:","")</f>
        <v/>
      </c>
      <c r="H30" s="117"/>
      <c r="J30" t="str">
        <f>IF(H30='Data lists'!I1,"Go to row 158","")</f>
        <v/>
      </c>
    </row>
    <row r="32" spans="2:10" ht="31" x14ac:dyDescent="0.35">
      <c r="B32" s="3" t="s">
        <v>81</v>
      </c>
      <c r="D32" s="70"/>
      <c r="F32" s="13" t="str">
        <f>IF(D32="Y","Go to row 162","")</f>
        <v/>
      </c>
      <c r="H32" s="110"/>
    </row>
    <row r="34" spans="2:10" ht="31" x14ac:dyDescent="0.35">
      <c r="B34" s="3" t="s">
        <v>82</v>
      </c>
      <c r="D34" s="70"/>
      <c r="F34" s="13" t="str">
        <f>IF(D34="Y","Go to row 192","")</f>
        <v/>
      </c>
    </row>
    <row r="36" spans="2:10" ht="31.5" customHeight="1" x14ac:dyDescent="0.35">
      <c r="B36" s="3" t="s">
        <v>83</v>
      </c>
      <c r="D36" s="70"/>
      <c r="F36" s="13" t="str">
        <f>IF(D36="Y","Responsibility for Radon monitoring sits with:","")</f>
        <v/>
      </c>
      <c r="H36" s="117"/>
      <c r="J36" t="str">
        <f>IF(H36='Data lists'!I1,"Go to row 210","")</f>
        <v/>
      </c>
    </row>
    <row r="38" spans="2:10" x14ac:dyDescent="0.35">
      <c r="B38" s="3" t="s">
        <v>84</v>
      </c>
      <c r="D38" s="70"/>
      <c r="F38" s="13" t="str">
        <f>IF(D38="Y","Go to row 73","")</f>
        <v/>
      </c>
    </row>
    <row r="39" spans="2:10" x14ac:dyDescent="0.35">
      <c r="B39" s="4"/>
    </row>
    <row r="40" spans="2:10" ht="31" x14ac:dyDescent="0.35">
      <c r="B40" s="40" t="s">
        <v>85</v>
      </c>
      <c r="D40" s="70"/>
    </row>
    <row r="41" spans="2:10" x14ac:dyDescent="0.35">
      <c r="D41" s="71"/>
    </row>
    <row r="42" spans="2:10" x14ac:dyDescent="0.35">
      <c r="B42" s="40" t="s">
        <v>86</v>
      </c>
      <c r="D42" s="70"/>
      <c r="F42" s="13" t="str">
        <f>IF(D42="Y","Go to row 216","")</f>
        <v/>
      </c>
    </row>
    <row r="43" spans="2:10" x14ac:dyDescent="0.35">
      <c r="D43" s="71"/>
    </row>
    <row r="44" spans="2:10" x14ac:dyDescent="0.35">
      <c r="B44" s="176" t="str">
        <f>IF(H12='Data lists'!I1,"Asbestos","")</f>
        <v/>
      </c>
      <c r="C44" s="176"/>
      <c r="D44" s="176"/>
      <c r="E44" s="110"/>
      <c r="F44" s="110"/>
      <c r="G44" s="110"/>
      <c r="H44" s="110"/>
    </row>
    <row r="45" spans="2:10" x14ac:dyDescent="0.35">
      <c r="B45" s="4"/>
      <c r="C45" s="110"/>
      <c r="D45" s="110"/>
      <c r="E45" s="110"/>
      <c r="F45" s="110"/>
      <c r="G45" s="110"/>
      <c r="H45" s="110"/>
    </row>
    <row r="46" spans="2:10" x14ac:dyDescent="0.35">
      <c r="B46" s="4" t="str">
        <f>IF(H12='Data lists'!I1,"Report available?","")</f>
        <v/>
      </c>
      <c r="C46" s="110"/>
      <c r="D46" s="117"/>
      <c r="E46" s="110"/>
      <c r="F46" s="4" t="str">
        <f>IF(D46="Y","Date last conducted","")</f>
        <v/>
      </c>
      <c r="G46" s="110"/>
      <c r="H46" s="117"/>
    </row>
    <row r="47" spans="2:10" x14ac:dyDescent="0.35">
      <c r="C47" s="110"/>
      <c r="D47" s="110"/>
      <c r="E47" s="110"/>
      <c r="F47" s="110"/>
      <c r="G47" s="110"/>
      <c r="H47" s="110"/>
    </row>
    <row r="48" spans="2:10" x14ac:dyDescent="0.35">
      <c r="B48" s="4" t="str">
        <f>IF(H12='Data lists'!I1,"Frequency of assessment","")</f>
        <v/>
      </c>
      <c r="C48" s="110"/>
      <c r="D48" s="117"/>
      <c r="E48" s="110"/>
      <c r="F48" s="110"/>
      <c r="G48" s="110"/>
      <c r="H48" s="110"/>
    </row>
    <row r="49" spans="2:8" x14ac:dyDescent="0.35">
      <c r="B49" s="4"/>
      <c r="C49" s="110"/>
      <c r="D49" s="110"/>
      <c r="E49" s="110"/>
      <c r="F49" s="110"/>
      <c r="G49" s="110"/>
      <c r="H49" s="110"/>
    </row>
    <row r="50" spans="2:8" x14ac:dyDescent="0.35">
      <c r="B50" s="4" t="str">
        <f>IF(H12='Data lists'!I1,"Asbestos register required","")</f>
        <v/>
      </c>
      <c r="C50" s="110"/>
      <c r="D50" s="117"/>
      <c r="E50" s="110"/>
      <c r="F50" s="110"/>
      <c r="G50" s="110"/>
      <c r="H50" s="110"/>
    </row>
    <row r="51" spans="2:8" x14ac:dyDescent="0.35">
      <c r="B51" s="4"/>
      <c r="C51" s="110"/>
      <c r="D51" s="110"/>
      <c r="E51" s="110"/>
      <c r="F51" s="110"/>
      <c r="G51" s="110"/>
      <c r="H51" s="110"/>
    </row>
    <row r="52" spans="2:8" x14ac:dyDescent="0.35">
      <c r="B52" s="177" t="str">
        <f>IF(H14='Data lists'!I1,"Water Hygiene","")</f>
        <v/>
      </c>
      <c r="C52" s="177"/>
      <c r="D52" s="177"/>
    </row>
    <row r="53" spans="2:8" x14ac:dyDescent="0.35">
      <c r="B53" s="4"/>
    </row>
    <row r="54" spans="2:8" x14ac:dyDescent="0.35">
      <c r="B54" s="4" t="str">
        <f>IF(H14='Data lists'!I1,"Water risk assessment available?","")</f>
        <v/>
      </c>
      <c r="D54" s="71"/>
      <c r="F54" s="4" t="str">
        <f>IF(D54="Y","Date last conducted","")</f>
        <v/>
      </c>
      <c r="H54" s="71"/>
    </row>
    <row r="56" spans="2:8" x14ac:dyDescent="0.35">
      <c r="B56" s="4" t="str">
        <f>IF(H14='Data lists'!I1,"Frequency of assessment","")</f>
        <v/>
      </c>
      <c r="D56" s="71"/>
    </row>
    <row r="57" spans="2:8" x14ac:dyDescent="0.35">
      <c r="B57" s="4"/>
    </row>
    <row r="58" spans="2:8" x14ac:dyDescent="0.35">
      <c r="B58" s="4" t="str">
        <f>IF(H14='Data lists'!I1,"Weekly Flushing","")</f>
        <v/>
      </c>
      <c r="D58" s="71"/>
      <c r="F58" s="4" t="str">
        <f>IF(D58='Data lists'!C1,"Monthly Tempreture checks","")&amp;IF('Health &amp; Safety'!D58='Data lists'!C3,"Monthly Tempreture checks","")</f>
        <v/>
      </c>
      <c r="H58" s="71"/>
    </row>
    <row r="60" spans="2:8" x14ac:dyDescent="0.35">
      <c r="B60" s="4" t="str">
        <f>IF(H14='Data lists'!I1,"Tank inspections","")</f>
        <v/>
      </c>
      <c r="D60" s="71"/>
      <c r="F60" s="13" t="str">
        <f>IF(D60='Data lists'!C1,"Number and location","")&amp;IF('Health &amp; Safety'!D60='Data lists'!C3,"Number and location","")</f>
        <v/>
      </c>
      <c r="H60" s="71"/>
    </row>
    <row r="61" spans="2:8" x14ac:dyDescent="0.35">
      <c r="B61" s="4"/>
      <c r="F61" s="4"/>
    </row>
    <row r="62" spans="2:8" x14ac:dyDescent="0.35">
      <c r="B62" s="4" t="str">
        <f>IF(H14='Data lists'!I1,"Descailing / disinfection / cholorination","")</f>
        <v/>
      </c>
      <c r="D62" s="71"/>
      <c r="F62" s="4"/>
    </row>
    <row r="63" spans="2:8" x14ac:dyDescent="0.35">
      <c r="B63" s="4"/>
      <c r="F63" s="4"/>
    </row>
    <row r="64" spans="2:8" x14ac:dyDescent="0.35">
      <c r="B64" s="4" t="str">
        <f>IF(H14='Data lists'!I1,"Cooling towers","")</f>
        <v/>
      </c>
      <c r="D64" s="71"/>
      <c r="F64" s="13" t="str">
        <f>IF(D64="Y","Number and location","")</f>
        <v/>
      </c>
      <c r="H64" s="71"/>
    </row>
    <row r="65" spans="2:8" x14ac:dyDescent="0.35">
      <c r="B65" s="4"/>
    </row>
    <row r="66" spans="2:8" x14ac:dyDescent="0.35">
      <c r="B66" s="4" t="str">
        <f>IF(H14='Data lists'!I1,"Termostatic Mixer Valve maintenance (TMV)","")</f>
        <v/>
      </c>
      <c r="D66" s="71"/>
      <c r="F66" s="13" t="str">
        <f>IF(D66="Y","Number and location","")</f>
        <v/>
      </c>
      <c r="H66" s="71"/>
    </row>
    <row r="67" spans="2:8" x14ac:dyDescent="0.35">
      <c r="B67" s="4"/>
    </row>
    <row r="68" spans="2:8" x14ac:dyDescent="0.35">
      <c r="B68" s="4" t="str">
        <f>IF(H14='Data lists'!I1,"Shower flushing","")</f>
        <v/>
      </c>
      <c r="D68" s="71"/>
      <c r="F68" s="13" t="str">
        <f>IF(D68="Y","Number and location","")</f>
        <v/>
      </c>
      <c r="H68" s="71"/>
    </row>
    <row r="70" spans="2:8" x14ac:dyDescent="0.35">
      <c r="B70" s="4" t="str">
        <f>IF(H14='Data lists'!I1,"Sampling required","")</f>
        <v/>
      </c>
      <c r="D70" s="71"/>
      <c r="F70" s="4" t="str">
        <f>IF(D70="Y","Frequency","")</f>
        <v/>
      </c>
      <c r="H70" s="71"/>
    </row>
    <row r="72" spans="2:8" x14ac:dyDescent="0.35">
      <c r="B72" s="4"/>
    </row>
    <row r="73" spans="2:8" x14ac:dyDescent="0.35">
      <c r="B73" s="177" t="str">
        <f>IF(D38="Y","Portable Appliance Testing","")</f>
        <v/>
      </c>
      <c r="C73" s="177"/>
      <c r="D73" s="177"/>
    </row>
    <row r="74" spans="2:8" x14ac:dyDescent="0.35">
      <c r="B74" s="4"/>
    </row>
    <row r="75" spans="2:8" x14ac:dyDescent="0.35">
      <c r="B75" s="4" t="str">
        <f>IF(D38="Y","Class of equipment","")</f>
        <v/>
      </c>
      <c r="D75" s="71"/>
    </row>
    <row r="77" spans="2:8" x14ac:dyDescent="0.35">
      <c r="B77" s="4" t="str">
        <f>IF(D38="Y","Number of items","")</f>
        <v/>
      </c>
      <c r="D77" s="71"/>
      <c r="F77" s="4" t="str">
        <f>IF(D38="Y","Frequency","")</f>
        <v/>
      </c>
      <c r="H77" s="71"/>
    </row>
    <row r="79" spans="2:8" x14ac:dyDescent="0.35">
      <c r="B79" s="4" t="str">
        <f>IF(D38="Y","Out of hours only","")</f>
        <v/>
      </c>
      <c r="D79" s="71"/>
      <c r="F79" s="13" t="str">
        <f>IF(D79="Y","How to access out of hours","")</f>
        <v/>
      </c>
      <c r="H79" s="71"/>
    </row>
    <row r="80" spans="2:8" x14ac:dyDescent="0.35">
      <c r="B80" s="4"/>
    </row>
    <row r="81" spans="2:8" x14ac:dyDescent="0.35">
      <c r="B81" s="4" t="str">
        <f>IF(D38="Y","Microwave emmisions testing required","")</f>
        <v/>
      </c>
      <c r="D81" s="71"/>
      <c r="F81" s="4" t="str">
        <f>IF(D81="Y","Number and location","")</f>
        <v/>
      </c>
      <c r="H81" s="71"/>
    </row>
    <row r="83" spans="2:8" x14ac:dyDescent="0.35">
      <c r="B83" s="4"/>
    </row>
    <row r="84" spans="2:8" x14ac:dyDescent="0.35">
      <c r="B84" s="177" t="str">
        <f>IF(H16='Data lists'!I1,"Electrical Instalation Certificate Testing","")</f>
        <v/>
      </c>
      <c r="C84" s="177"/>
      <c r="D84" s="177"/>
    </row>
    <row r="85" spans="2:8" x14ac:dyDescent="0.35">
      <c r="B85" s="4"/>
    </row>
    <row r="86" spans="2:8" x14ac:dyDescent="0.35">
      <c r="B86" s="4" t="str">
        <f>IF(H16='Data lists'!I1,"Report available","")</f>
        <v/>
      </c>
      <c r="D86" s="71"/>
      <c r="F86" s="4" t="str">
        <f>IF(H16='Data lists'!I1,"Date last conducted","")</f>
        <v/>
      </c>
      <c r="H86" s="118"/>
    </row>
    <row r="88" spans="2:8" x14ac:dyDescent="0.35">
      <c r="B88" s="4" t="str">
        <f>IF(H16='Data lists'!I1,"Frequency","")</f>
        <v/>
      </c>
      <c r="D88" s="71"/>
    </row>
    <row r="89" spans="2:8" x14ac:dyDescent="0.35">
      <c r="B89" s="4"/>
    </row>
    <row r="90" spans="2:8" x14ac:dyDescent="0.35">
      <c r="B90" s="177" t="str">
        <f>IF(D18='Data lists'!I1,"Fire Risk Assessment","")</f>
        <v/>
      </c>
      <c r="C90" s="177"/>
      <c r="D90" s="177"/>
    </row>
    <row r="91" spans="2:8" x14ac:dyDescent="0.35">
      <c r="B91" s="4"/>
    </row>
    <row r="92" spans="2:8" x14ac:dyDescent="0.35">
      <c r="B92" s="4" t="str">
        <f>IF(D18='Data lists'!I1,"Report available","")</f>
        <v/>
      </c>
      <c r="D92" s="71"/>
      <c r="F92" s="4" t="str">
        <f>IF(D18='Data lists'!I1,"Date last conducted","")</f>
        <v/>
      </c>
      <c r="H92" s="118"/>
    </row>
    <row r="94" spans="2:8" x14ac:dyDescent="0.35">
      <c r="B94" s="4" t="str">
        <f>IF(D18='Data lists'!I1,"Frequency","")</f>
        <v/>
      </c>
      <c r="D94" s="71"/>
    </row>
    <row r="95" spans="2:8" x14ac:dyDescent="0.35">
      <c r="B95" s="4"/>
    </row>
    <row r="96" spans="2:8" x14ac:dyDescent="0.35">
      <c r="B96" s="4" t="str">
        <f>IF(D18='Data lists'!I1,"Additional fire surveys required","")</f>
        <v/>
      </c>
      <c r="D96" s="71"/>
    </row>
    <row r="97" spans="2:8" x14ac:dyDescent="0.35">
      <c r="B97" s="4"/>
    </row>
    <row r="98" spans="2:8" x14ac:dyDescent="0.35">
      <c r="B98" s="4" t="str">
        <f>IF(D96="Y","Fire Door surveys","")</f>
        <v/>
      </c>
      <c r="D98" s="71"/>
      <c r="F98" s="13" t="str">
        <f>IF(D98="Y","Last conducted","")&amp;IF(D98='Data lists'!$C$3,"Last conducted","")</f>
        <v/>
      </c>
      <c r="H98" s="71"/>
    </row>
    <row r="99" spans="2:8" x14ac:dyDescent="0.35">
      <c r="B99" s="4"/>
    </row>
    <row r="100" spans="2:8" x14ac:dyDescent="0.35">
      <c r="B100" s="4" t="str">
        <f>IF(D98="Y","Frequency","")&amp;IF(D98='Data lists'!$C$3,"Frequency","")</f>
        <v/>
      </c>
      <c r="D100" s="71"/>
    </row>
    <row r="101" spans="2:8" x14ac:dyDescent="0.35">
      <c r="B101" s="4"/>
    </row>
    <row r="102" spans="2:8" x14ac:dyDescent="0.35">
      <c r="B102" s="4" t="str">
        <f>IF(D96="Y","Compartmentation survey","")</f>
        <v/>
      </c>
      <c r="D102" s="71"/>
      <c r="F102" s="13" t="str">
        <f>IF(D102="Y","Last conducted","")&amp;IF(D102='Data lists'!$C$3,"Last conducted","")</f>
        <v/>
      </c>
      <c r="H102" s="71"/>
    </row>
    <row r="103" spans="2:8" x14ac:dyDescent="0.35">
      <c r="B103" s="4"/>
    </row>
    <row r="104" spans="2:8" x14ac:dyDescent="0.35">
      <c r="B104" s="4" t="str">
        <f>IF(D102="Y","Frequency","")&amp;IF(D102='Data lists'!$C$3,"Frequency","")</f>
        <v/>
      </c>
      <c r="D104" s="71"/>
    </row>
    <row r="105" spans="2:8" x14ac:dyDescent="0.35">
      <c r="B105" s="4"/>
    </row>
    <row r="106" spans="2:8" x14ac:dyDescent="0.35">
      <c r="B106" s="4" t="str">
        <f>IF(D96="Y","Fire stopping survey","")</f>
        <v/>
      </c>
      <c r="D106" s="71"/>
      <c r="F106" s="13" t="str">
        <f>IF(D106="Y","Last conducted","")&amp;IF(D106='Data lists'!$C$3,"Last conducted","")</f>
        <v/>
      </c>
      <c r="H106" s="71"/>
    </row>
    <row r="107" spans="2:8" x14ac:dyDescent="0.35">
      <c r="B107" s="4"/>
    </row>
    <row r="108" spans="2:8" x14ac:dyDescent="0.35">
      <c r="B108" s="4" t="str">
        <f>IF(D106="Y","Frequency","")&amp;IF(D106='Data lists'!$C$3,"Frequency","")</f>
        <v/>
      </c>
      <c r="D108" s="71"/>
    </row>
    <row r="109" spans="2:8" x14ac:dyDescent="0.35">
      <c r="B109" s="4"/>
    </row>
    <row r="110" spans="2:8" x14ac:dyDescent="0.35">
      <c r="B110" s="177" t="str">
        <f>IF(H20='Data lists'!I1,"Fire Detection System","")</f>
        <v/>
      </c>
      <c r="C110" s="177"/>
      <c r="D110" s="177"/>
    </row>
    <row r="111" spans="2:8" x14ac:dyDescent="0.35">
      <c r="B111" s="4"/>
    </row>
    <row r="112" spans="2:8" x14ac:dyDescent="0.35">
      <c r="B112" s="4" t="str">
        <f>IF('Health &amp; Safety'!H20='Data lists'!I1,"System type","")</f>
        <v/>
      </c>
      <c r="D112" s="71"/>
    </row>
    <row r="113" spans="2:8" x14ac:dyDescent="0.35">
      <c r="B113" s="4"/>
      <c r="F113" s="4"/>
    </row>
    <row r="114" spans="2:8" x14ac:dyDescent="0.35">
      <c r="B114" s="4" t="str">
        <f>IF('Health &amp; Safety'!H20='Data lists'!I1,"Linked to other systems","")</f>
        <v/>
      </c>
      <c r="D114" s="71"/>
      <c r="F114" s="4" t="str">
        <f>IF(D114="Y","Details","")</f>
        <v/>
      </c>
      <c r="H114" s="71"/>
    </row>
    <row r="115" spans="2:8" x14ac:dyDescent="0.35">
      <c r="B115" s="4"/>
      <c r="F115" s="4"/>
    </row>
    <row r="116" spans="2:8" x14ac:dyDescent="0.35">
      <c r="B116" s="4" t="str">
        <f>IF('Health &amp; Safety'!H20='Data lists'!I1,"Report available","")</f>
        <v/>
      </c>
      <c r="D116" s="71"/>
      <c r="F116" s="4" t="str">
        <f>IF('Health &amp; Safety'!H20='Data lists'!I1,"Date maintenance last conducted","")</f>
        <v/>
      </c>
      <c r="H116" s="71"/>
    </row>
    <row r="118" spans="2:8" x14ac:dyDescent="0.35">
      <c r="B118" s="4" t="str">
        <f>IF('Health &amp; Safety'!H20='Data lists'!I1,"Required maintenance frequency","")</f>
        <v/>
      </c>
      <c r="D118" s="71"/>
    </row>
    <row r="119" spans="2:8" x14ac:dyDescent="0.35">
      <c r="B119" s="4"/>
    </row>
    <row r="120" spans="2:8" x14ac:dyDescent="0.35">
      <c r="B120" s="4" t="str">
        <f>IF('Health &amp; Safety'!H20='Data lists'!I1,"Testing required","")</f>
        <v/>
      </c>
      <c r="D120" s="71"/>
      <c r="F120" s="4" t="str">
        <f>IF(D120="Y","Frequency","")</f>
        <v/>
      </c>
      <c r="H120" s="71"/>
    </row>
    <row r="122" spans="2:8" x14ac:dyDescent="0.35">
      <c r="B122" s="4" t="str">
        <f>IF('Health &amp; Safety'!H20='Data lists'!I1,"Alarm pannel location","")</f>
        <v/>
      </c>
      <c r="D122" s="71"/>
      <c r="F122" s="4" t="str">
        <f>IF('Health &amp; Safety'!H20='Data lists'!I1,"Remote monitoring required","")</f>
        <v/>
      </c>
      <c r="H122" s="71"/>
    </row>
    <row r="124" spans="2:8" x14ac:dyDescent="0.35">
      <c r="B124" s="177" t="str">
        <f>IF(H22='Data lists'!I1,"Firefighting Equipment","")</f>
        <v/>
      </c>
      <c r="C124" s="177"/>
      <c r="D124" s="177"/>
    </row>
    <row r="125" spans="2:8" x14ac:dyDescent="0.35">
      <c r="B125" s="4"/>
    </row>
    <row r="126" spans="2:8" x14ac:dyDescent="0.35">
      <c r="B126" s="4" t="str">
        <f>IF(H22='Data lists'!I1,"Extinguisher maintenance required","")</f>
        <v/>
      </c>
      <c r="D126" s="71"/>
      <c r="F126" s="4" t="str">
        <f>IF(D126="Y","Date Maintenance last conducted","")</f>
        <v/>
      </c>
      <c r="H126" s="71"/>
    </row>
    <row r="128" spans="2:8" x14ac:dyDescent="0.35">
      <c r="B128" s="4" t="str">
        <f>IF(D126="Y","Number and type of extinguishers","")</f>
        <v/>
      </c>
      <c r="D128" s="71"/>
      <c r="F128" s="4" t="str">
        <f>IF(D126="Y","Number and location of fire blankets","")</f>
        <v/>
      </c>
      <c r="H128" s="71"/>
    </row>
    <row r="130" spans="2:8" x14ac:dyDescent="0.35">
      <c r="B130" s="4" t="str">
        <f>IF(H22='Data lists'!I1,"Sprinkler system maintenance","")</f>
        <v/>
      </c>
      <c r="D130" s="71"/>
      <c r="F130" s="4" t="str">
        <f>IF(D130="Y","Pressure / leak testing","")</f>
        <v/>
      </c>
      <c r="H130" s="71"/>
    </row>
    <row r="132" spans="2:8" x14ac:dyDescent="0.35">
      <c r="B132" s="4" t="str">
        <f>IF(H22='Data lists'!I1,"Gas suppressions system maintenance","")</f>
        <v/>
      </c>
      <c r="D132" s="71"/>
      <c r="F132" s="4" t="str">
        <f>IF(D132="Y","Gas suppressions system location","")</f>
        <v/>
      </c>
      <c r="H132" s="71"/>
    </row>
    <row r="134" spans="2:8" x14ac:dyDescent="0.35">
      <c r="B134" s="4" t="str">
        <f>IF(H22='Data lists'!I1,"Wet / dry risers","")</f>
        <v/>
      </c>
      <c r="D134" s="71"/>
      <c r="F134" s="4" t="str">
        <f>IF(D134="Y","Numbers and locations","")</f>
        <v/>
      </c>
      <c r="H134" s="71"/>
    </row>
    <row r="135" spans="2:8" x14ac:dyDescent="0.35">
      <c r="B135" s="4"/>
    </row>
    <row r="136" spans="2:8" x14ac:dyDescent="0.35">
      <c r="B136" s="177" t="str">
        <f>IF(H24='Data lists'!I1,"Evacuation Equipment","")</f>
        <v/>
      </c>
      <c r="C136" s="177"/>
      <c r="D136" s="177"/>
    </row>
    <row r="137" spans="2:8" x14ac:dyDescent="0.35">
      <c r="B137" s="4"/>
    </row>
    <row r="138" spans="2:8" x14ac:dyDescent="0.35">
      <c r="B138" s="4" t="str">
        <f>IF(H24='Data lists'!I1,"Type","")</f>
        <v/>
      </c>
      <c r="D138" s="71"/>
      <c r="F138" s="4" t="str">
        <f>IF(H24='Data lists'!I1,"Number and location","")</f>
        <v/>
      </c>
      <c r="H138" s="71"/>
    </row>
    <row r="140" spans="2:8" x14ac:dyDescent="0.35">
      <c r="B140" s="4" t="str">
        <f>IF(H24='Data lists'!I1,"Date last conducted","")</f>
        <v/>
      </c>
      <c r="D140" s="71"/>
    </row>
    <row r="141" spans="2:8" x14ac:dyDescent="0.35">
      <c r="B141" s="4"/>
    </row>
    <row r="142" spans="2:8" x14ac:dyDescent="0.35">
      <c r="B142" s="177" t="str">
        <f>IF(H26='Data lists'!I1,"Heating System","")</f>
        <v/>
      </c>
      <c r="C142" s="177"/>
      <c r="D142" s="177"/>
    </row>
    <row r="143" spans="2:8" x14ac:dyDescent="0.35">
      <c r="B143" s="4"/>
    </row>
    <row r="144" spans="2:8" x14ac:dyDescent="0.35">
      <c r="B144" s="4" t="str">
        <f>IF(H26='Data lists'!I1,"Type","")</f>
        <v/>
      </c>
      <c r="D144" s="71"/>
      <c r="F144" s="13" t="str">
        <f>IF(D144='Data lists'!N7,"Provide details","")</f>
        <v/>
      </c>
      <c r="H144" s="71"/>
    </row>
    <row r="146" spans="2:8" x14ac:dyDescent="0.35">
      <c r="B146" s="4" t="str">
        <f>IF(H26='Data lists'!I1,"Location","")</f>
        <v/>
      </c>
      <c r="D146" s="71"/>
    </row>
    <row r="148" spans="2:8" x14ac:dyDescent="0.35">
      <c r="B148" s="4" t="str">
        <f>IF(H26='Data lists'!I1,"Annual safety checks required","")</f>
        <v/>
      </c>
      <c r="D148" s="71"/>
      <c r="F148" s="13" t="str">
        <f>IF(D148="Y","Date last conducted","")</f>
        <v/>
      </c>
      <c r="H148" s="71"/>
    </row>
    <row r="150" spans="2:8" x14ac:dyDescent="0.35">
      <c r="B150" s="4" t="str">
        <f>IF(H26='Data lists'!I1,"Expansion vessel maintenance","")</f>
        <v/>
      </c>
      <c r="D150" s="71"/>
      <c r="F150" s="13" t="str">
        <f>IF(D150="Y","Location and capacity","")</f>
        <v/>
      </c>
      <c r="H150" s="71"/>
    </row>
    <row r="151" spans="2:8" x14ac:dyDescent="0.35">
      <c r="B151" s="4"/>
    </row>
    <row r="152" spans="2:8" x14ac:dyDescent="0.35">
      <c r="B152" s="4" t="str">
        <f>IF(H26='Data lists'!I1,"Pre-winter Health check required","")</f>
        <v/>
      </c>
      <c r="D152" s="71"/>
    </row>
    <row r="154" spans="2:8" x14ac:dyDescent="0.35">
      <c r="B154" s="176" t="str">
        <f>IF(H28='Data lists'!I1,"Emergency Lighting","")</f>
        <v/>
      </c>
      <c r="C154" s="176"/>
      <c r="D154" s="176"/>
    </row>
    <row r="156" spans="2:8" x14ac:dyDescent="0.35">
      <c r="B156" s="4" t="str">
        <f>IF(H28='Data lists'!I1,"Monthly testing and maintenance","")</f>
        <v/>
      </c>
      <c r="D156" s="71"/>
      <c r="F156" s="110" t="str">
        <f>IF(H28='Data lists'!I1,"Annual Testing testing and maintenance","")</f>
        <v/>
      </c>
      <c r="H156" s="71"/>
    </row>
    <row r="158" spans="2:8" x14ac:dyDescent="0.35">
      <c r="B158" s="176" t="str">
        <f>IF(H30='Data lists'!I1,"Lightening Protection","")</f>
        <v/>
      </c>
      <c r="C158" s="176"/>
      <c r="D158" s="176"/>
    </row>
    <row r="160" spans="2:8" x14ac:dyDescent="0.35">
      <c r="B160" s="110" t="str">
        <f>IF(H30='Data lists'!I1,"Report available","")</f>
        <v/>
      </c>
      <c r="D160" s="69"/>
      <c r="F160" s="17" t="str">
        <f>IF(H30='Data lists'!I1,"Date of last report","")</f>
        <v/>
      </c>
      <c r="H160" s="69"/>
    </row>
    <row r="162" spans="2:8" x14ac:dyDescent="0.35">
      <c r="B162" s="176" t="str">
        <f>IF(D32="Y","Lift operating and Lifting Equipment","")</f>
        <v/>
      </c>
      <c r="C162" s="176"/>
      <c r="D162" s="176"/>
    </row>
    <row r="163" spans="2:8" x14ac:dyDescent="0.35">
      <c r="B163" s="22"/>
      <c r="C163" s="58"/>
      <c r="D163" s="58"/>
    </row>
    <row r="164" spans="2:8" ht="30" customHeight="1" x14ac:dyDescent="0.35">
      <c r="B164" s="4" t="str">
        <f>IF(D32="Y","Passenger lifts","")</f>
        <v/>
      </c>
      <c r="D164" s="71"/>
      <c r="F164" s="13" t="str">
        <f>IF(D164="Y","Responsibility for maintenance and LOLER inspections sits with:","")</f>
        <v/>
      </c>
      <c r="H164" s="71"/>
    </row>
    <row r="165" spans="2:8" x14ac:dyDescent="0.35">
      <c r="B165" s="4"/>
    </row>
    <row r="166" spans="2:8" ht="14.5" x14ac:dyDescent="0.35">
      <c r="B166" s="13" t="str">
        <f>IF(D164="Y","Number and location","")</f>
        <v/>
      </c>
      <c r="D166" s="71"/>
      <c r="F166" s="13" t="str">
        <f>IF(H164='Data lists'!I1,"Maintenance Level","")</f>
        <v/>
      </c>
      <c r="H166" s="71"/>
    </row>
    <row r="167" spans="2:8" x14ac:dyDescent="0.35">
      <c r="B167" s="4"/>
    </row>
    <row r="168" spans="2:8" ht="31.5" customHeight="1" x14ac:dyDescent="0.35">
      <c r="B168" s="4" t="str">
        <f>IF(D32="Y","Goods lifts","")</f>
        <v/>
      </c>
      <c r="D168" s="71"/>
      <c r="F168" s="13" t="str">
        <f>IF(D168="Y","Responsibility for maintenance and LOLER inspections sits with:","")</f>
        <v/>
      </c>
      <c r="H168" s="71"/>
    </row>
    <row r="169" spans="2:8" x14ac:dyDescent="0.35">
      <c r="B169" s="4"/>
    </row>
    <row r="170" spans="2:8" ht="14.5" x14ac:dyDescent="0.35">
      <c r="B170" s="13" t="str">
        <f>IF(D168="Y","Number and location","")</f>
        <v/>
      </c>
      <c r="D170" s="71"/>
      <c r="F170" s="13" t="str">
        <f>IF(H168='Data lists'!I$1,"Maintenance Level","")</f>
        <v/>
      </c>
      <c r="H170" s="71"/>
    </row>
    <row r="171" spans="2:8" x14ac:dyDescent="0.35">
      <c r="B171" s="4"/>
    </row>
    <row r="172" spans="2:8" ht="30.75" customHeight="1" x14ac:dyDescent="0.35">
      <c r="B172" s="4" t="str">
        <f>IF(D32="Y","Vehicle lifts","")</f>
        <v/>
      </c>
      <c r="D172" s="71"/>
      <c r="F172" s="13" t="str">
        <f>IF(D172="Y","Responsibility for maintenance and LOLER inspections sits with:","")</f>
        <v/>
      </c>
      <c r="H172" s="71"/>
    </row>
    <row r="173" spans="2:8" x14ac:dyDescent="0.35">
      <c r="B173" s="4"/>
    </row>
    <row r="174" spans="2:8" ht="14.5" x14ac:dyDescent="0.35">
      <c r="B174" s="13" t="str">
        <f>IF(D172="Y","Number and location","")</f>
        <v/>
      </c>
      <c r="D174" s="71"/>
      <c r="F174" s="13" t="str">
        <f>IF(H172='Data lists'!I$1,"Maintenance Level","")</f>
        <v/>
      </c>
      <c r="H174" s="71"/>
    </row>
    <row r="175" spans="2:8" x14ac:dyDescent="0.35">
      <c r="B175" s="4"/>
    </row>
    <row r="176" spans="2:8" ht="32.25" customHeight="1" x14ac:dyDescent="0.35">
      <c r="B176" s="4" t="str">
        <f>IF(D32="Y","Firemans lifts","")</f>
        <v/>
      </c>
      <c r="D176" s="71"/>
      <c r="F176" s="13" t="str">
        <f>IF(D176="Y","Responsibility for maintenance and LOLER inspections sits with:","")</f>
        <v/>
      </c>
      <c r="H176" s="71"/>
    </row>
    <row r="177" spans="2:8" x14ac:dyDescent="0.35">
      <c r="B177" s="4"/>
    </row>
    <row r="178" spans="2:8" ht="14.5" x14ac:dyDescent="0.35">
      <c r="B178" s="13" t="str">
        <f>IF(D176="Y","Number and location","")</f>
        <v/>
      </c>
      <c r="D178" s="71"/>
      <c r="F178" s="13" t="str">
        <f>IF(H176='Data lists'!I$1,"Maintenance Level","")</f>
        <v/>
      </c>
      <c r="H178" s="71"/>
    </row>
    <row r="179" spans="2:8" x14ac:dyDescent="0.35">
      <c r="B179" s="4"/>
    </row>
    <row r="180" spans="2:8" ht="30.75" customHeight="1" x14ac:dyDescent="0.35">
      <c r="B180" s="4" t="str">
        <f>IF(D32="Y","Wheelchair lifts","")</f>
        <v/>
      </c>
      <c r="D180" s="71"/>
      <c r="F180" s="13" t="str">
        <f>IF(D180="Y","Responsibility for maintenance and LOLER inspections sits with:","")</f>
        <v/>
      </c>
      <c r="H180" s="71"/>
    </row>
    <row r="181" spans="2:8" x14ac:dyDescent="0.35">
      <c r="B181" s="4"/>
    </row>
    <row r="182" spans="2:8" ht="14.5" x14ac:dyDescent="0.35">
      <c r="B182" s="13" t="str">
        <f>IF(D180="Y","Number and location","")</f>
        <v/>
      </c>
      <c r="D182" s="71"/>
      <c r="F182" s="13" t="str">
        <f>IF(H180='Data lists'!I$1,"Maintenance Level","")</f>
        <v/>
      </c>
      <c r="H182" s="71"/>
    </row>
    <row r="183" spans="2:8" x14ac:dyDescent="0.35">
      <c r="B183" s="4"/>
    </row>
    <row r="184" spans="2:8" ht="35.25" customHeight="1" x14ac:dyDescent="0.35">
      <c r="B184" s="4" t="str">
        <f>IF(D32="Y","Other (provide detail)","")</f>
        <v/>
      </c>
      <c r="D184" s="71"/>
      <c r="F184" s="13" t="str">
        <f>IF(D184="Y","Responsibility for maintenance and LOLER inspections sits withh:","")</f>
        <v/>
      </c>
      <c r="H184" s="71"/>
    </row>
    <row r="185" spans="2:8" x14ac:dyDescent="0.35">
      <c r="B185" s="4"/>
    </row>
    <row r="186" spans="2:8" ht="14.5" x14ac:dyDescent="0.35">
      <c r="B186" s="13" t="str">
        <f>IF(D184="Y","Number and location","")</f>
        <v/>
      </c>
      <c r="D186" s="71"/>
      <c r="F186" s="13" t="str">
        <f>IF(H184='Data lists'!I$1,"Maintenance Level","")</f>
        <v/>
      </c>
      <c r="H186" s="71"/>
    </row>
    <row r="187" spans="2:8" x14ac:dyDescent="0.35">
      <c r="B187" s="4"/>
    </row>
    <row r="188" spans="2:8" x14ac:dyDescent="0.35">
      <c r="B188" s="22" t="str">
        <f>IF(D32="Y","Critical spares kept on site","")</f>
        <v/>
      </c>
      <c r="C188" s="58"/>
      <c r="D188" s="71"/>
      <c r="F188" s="13" t="str">
        <f>IF(D188="Y","Detail spare parts that should be kept on site","")</f>
        <v/>
      </c>
      <c r="H188" s="71"/>
    </row>
    <row r="189" spans="2:8" x14ac:dyDescent="0.35">
      <c r="B189" s="22"/>
      <c r="C189" s="58"/>
      <c r="D189" s="58"/>
    </row>
    <row r="190" spans="2:8" x14ac:dyDescent="0.35">
      <c r="B190" s="22" t="str">
        <f>IF(D32="Y","Alarm/ call monitoring","")</f>
        <v/>
      </c>
      <c r="C190" s="58"/>
      <c r="D190" s="71"/>
    </row>
    <row r="191" spans="2:8" x14ac:dyDescent="0.35">
      <c r="B191" s="22"/>
      <c r="C191" s="58"/>
      <c r="D191" s="58"/>
    </row>
    <row r="192" spans="2:8" x14ac:dyDescent="0.35">
      <c r="B192" s="176" t="str">
        <f>IF(D34="Y","Ventilation","")</f>
        <v/>
      </c>
      <c r="C192" s="176"/>
      <c r="D192" s="176"/>
    </row>
    <row r="193" spans="2:8" x14ac:dyDescent="0.35">
      <c r="B193" s="22"/>
      <c r="C193" s="58"/>
      <c r="D193" s="58"/>
    </row>
    <row r="194" spans="2:8" x14ac:dyDescent="0.35">
      <c r="B194" s="4" t="str">
        <f>IF(D34="Y","Site has air conditioning","")</f>
        <v/>
      </c>
      <c r="D194" s="71"/>
      <c r="F194" s="22" t="str">
        <f>IF(D194="Y","Loaction of F gas register","")</f>
        <v/>
      </c>
      <c r="H194" s="71"/>
    </row>
    <row r="195" spans="2:8" x14ac:dyDescent="0.35">
      <c r="B195" s="4"/>
    </row>
    <row r="196" spans="2:8" x14ac:dyDescent="0.35">
      <c r="B196" s="4" t="str">
        <f>IF(D194="Y","Who is responsible for maintenance","")</f>
        <v/>
      </c>
      <c r="D196" s="71"/>
      <c r="F196" s="17" t="str">
        <f>IF(D196='Data lists'!I1,"Maintenance level","")</f>
        <v/>
      </c>
      <c r="H196" s="71"/>
    </row>
    <row r="197" spans="2:8" x14ac:dyDescent="0.35">
      <c r="B197" s="4"/>
    </row>
    <row r="198" spans="2:8" x14ac:dyDescent="0.35">
      <c r="B198" s="22" t="str">
        <f>IF(D194="Y","leak testing","")</f>
        <v/>
      </c>
      <c r="D198" s="71"/>
    </row>
    <row r="199" spans="2:8" x14ac:dyDescent="0.35">
      <c r="C199" s="58"/>
      <c r="D199" s="58"/>
    </row>
    <row r="200" spans="2:8" x14ac:dyDescent="0.35">
      <c r="B200" s="38" t="str">
        <f>IF(D194="Y","TM44 required","")</f>
        <v/>
      </c>
      <c r="C200" s="58"/>
      <c r="D200" s="71"/>
      <c r="F200" s="22" t="str">
        <f>IF(D194="Y","Date last conducted","")</f>
        <v/>
      </c>
      <c r="H200" s="71"/>
    </row>
    <row r="201" spans="2:8" x14ac:dyDescent="0.35">
      <c r="C201" s="58"/>
      <c r="D201" s="58"/>
    </row>
    <row r="202" spans="2:8" x14ac:dyDescent="0.35">
      <c r="B202" s="22" t="str">
        <f>IF(D194="Y","Frequency","")</f>
        <v/>
      </c>
      <c r="C202" s="58"/>
      <c r="D202" s="71"/>
    </row>
    <row r="203" spans="2:8" x14ac:dyDescent="0.35">
      <c r="B203" s="22"/>
      <c r="C203" s="58"/>
    </row>
    <row r="204" spans="2:8" x14ac:dyDescent="0.35">
      <c r="B204" s="22" t="str">
        <f>IF(D34="Y","Site has a Local Exhaust Ventilation (LEV) system","")</f>
        <v/>
      </c>
      <c r="C204" s="58"/>
      <c r="D204" s="71"/>
    </row>
    <row r="205" spans="2:8" x14ac:dyDescent="0.35">
      <c r="B205" s="22"/>
      <c r="C205" s="58"/>
    </row>
    <row r="206" spans="2:8" x14ac:dyDescent="0.35">
      <c r="B206" s="22" t="str">
        <f>IF(D204="Y","Who is responsible for maintenance","")</f>
        <v/>
      </c>
      <c r="C206" s="58"/>
      <c r="D206" s="71"/>
      <c r="F206" s="13" t="str">
        <f>IF(D206='Data lists'!I1,"Maintenance Level","")</f>
        <v/>
      </c>
      <c r="H206" s="71"/>
    </row>
    <row r="207" spans="2:8" x14ac:dyDescent="0.35">
      <c r="B207" s="22"/>
      <c r="C207" s="58"/>
    </row>
    <row r="208" spans="2:8" x14ac:dyDescent="0.35">
      <c r="B208" s="22" t="str">
        <f>IF(D204="Y","Frequency","")</f>
        <v/>
      </c>
      <c r="C208" s="58"/>
      <c r="D208" s="71"/>
      <c r="F208" s="22" t="str">
        <f>IF(D204="Y","Location","")</f>
        <v/>
      </c>
      <c r="H208" s="71"/>
    </row>
    <row r="209" spans="2:8" x14ac:dyDescent="0.35">
      <c r="B209" s="22"/>
      <c r="C209" s="58"/>
      <c r="D209" s="58"/>
    </row>
    <row r="210" spans="2:8" x14ac:dyDescent="0.35">
      <c r="B210" s="177" t="str">
        <f>IF(H36='Data lists'!I1,"Radon Testing Services","")</f>
        <v/>
      </c>
      <c r="C210" s="177"/>
      <c r="D210" s="177"/>
    </row>
    <row r="211" spans="2:8" x14ac:dyDescent="0.35">
      <c r="B211" s="4"/>
    </row>
    <row r="212" spans="2:8" x14ac:dyDescent="0.35">
      <c r="B212" s="22" t="str">
        <f>IF(H36='Data lists'!I1,"Last conducted","")</f>
        <v/>
      </c>
      <c r="C212" s="58"/>
      <c r="D212" s="71"/>
      <c r="F212" s="13" t="str">
        <f>IF(H36='Data lists'!I1,"Frequency","")</f>
        <v/>
      </c>
      <c r="H212" s="71"/>
    </row>
    <row r="213" spans="2:8" x14ac:dyDescent="0.35">
      <c r="B213" s="22"/>
      <c r="C213" s="58"/>
      <c r="D213" s="58"/>
    </row>
    <row r="214" spans="2:8" x14ac:dyDescent="0.35">
      <c r="B214" s="22" t="str">
        <f>IF(H36='Data lists'!I1,"Maximum radon potential (https://www.ukradon.org/information/ukmaps)","")</f>
        <v/>
      </c>
      <c r="C214" s="58"/>
      <c r="D214" s="95"/>
      <c r="F214" s="13" t="str">
        <f>IF(H36='Data lists'!I1,"Number of rooms where people work frequently (to determin number of detectors)","")</f>
        <v/>
      </c>
      <c r="H214" s="71"/>
    </row>
    <row r="215" spans="2:8" x14ac:dyDescent="0.35">
      <c r="B215" s="22"/>
      <c r="C215" s="58"/>
      <c r="D215" s="58"/>
    </row>
    <row r="216" spans="2:8" x14ac:dyDescent="0.35">
      <c r="B216" s="175" t="str">
        <f>IF(D42="Y","Human Factors Assessments","")</f>
        <v/>
      </c>
      <c r="C216" s="175"/>
      <c r="D216" s="175"/>
    </row>
    <row r="217" spans="2:8" x14ac:dyDescent="0.35">
      <c r="B217" s="22"/>
      <c r="C217" s="58"/>
      <c r="D217" s="58"/>
    </row>
    <row r="218" spans="2:8" x14ac:dyDescent="0.35">
      <c r="B218" s="22" t="str">
        <f>IF(D42="Y","Noise surveys","")</f>
        <v/>
      </c>
      <c r="C218" s="58"/>
      <c r="D218" s="95"/>
      <c r="F218" s="13" t="str">
        <f>IF(D218="Y","Date last conducted","")&amp;IF(D218='Data lists'!$C$3,"Date last conducted","")</f>
        <v/>
      </c>
      <c r="H218" s="71"/>
    </row>
    <row r="220" spans="2:8" x14ac:dyDescent="0.35">
      <c r="B220" s="110" t="str">
        <f>IF(D218="Y","Frequency","")&amp;IF(D218='Data lists'!$C$3,"Frequency","")</f>
        <v/>
      </c>
      <c r="D220" s="71"/>
    </row>
    <row r="222" spans="2:8" x14ac:dyDescent="0.35">
      <c r="B222" s="110" t="str">
        <f>IF(D42="Y","Lighting","")</f>
        <v/>
      </c>
      <c r="D222" s="71"/>
      <c r="F222" s="13" t="str">
        <f>IF(D222="Y","Date last conducted","")&amp;IF(D222='Data lists'!$C$3,"Date last conducted","")</f>
        <v/>
      </c>
      <c r="H222" s="71"/>
    </row>
    <row r="224" spans="2:8" x14ac:dyDescent="0.35">
      <c r="B224" s="110" t="str">
        <f>IF(D222="Y","Frequency","")&amp;IF(D222='Data lists'!$C$3,"Frequency","")</f>
        <v/>
      </c>
      <c r="D224" s="71"/>
    </row>
    <row r="226" spans="2:8" x14ac:dyDescent="0.35">
      <c r="B226" s="110" t="str">
        <f>IF(D42="Y","Thermal Comfort","")</f>
        <v/>
      </c>
      <c r="D226" s="71"/>
      <c r="F226" s="13" t="str">
        <f>IF(D226="Y","Date last conducted","")&amp;IF(D226='Data lists'!$C$3,"Date last conducted","")</f>
        <v/>
      </c>
      <c r="H226" s="71"/>
    </row>
    <row r="228" spans="2:8" x14ac:dyDescent="0.35">
      <c r="B228" s="110" t="str">
        <f>IF(D226="Y","Frequency","")&amp;IF(D226='Data lists'!$C$3,"Frequency","")</f>
        <v/>
      </c>
      <c r="D228" s="71"/>
    </row>
    <row r="230" spans="2:8" x14ac:dyDescent="0.35">
      <c r="B230" s="110" t="str">
        <f>IF(D42="Y","Vibration","")</f>
        <v/>
      </c>
      <c r="D230" s="71"/>
      <c r="F230" s="13" t="str">
        <f>IF(D230="Y","Date last conducted","")&amp;IF(D230='Data lists'!$C$3,"Date last conducted","")</f>
        <v/>
      </c>
      <c r="H230" s="71"/>
    </row>
    <row r="232" spans="2:8" x14ac:dyDescent="0.35">
      <c r="B232" s="110" t="str">
        <f>IF(D230="Y","Frequency","")&amp;IF(D230='Data lists'!$C$3,"Frequency","")</f>
        <v/>
      </c>
      <c r="D232" s="71"/>
    </row>
  </sheetData>
  <sheetProtection algorithmName="SHA-512" hashValue="bsdMTibaQ4rd9FsRwC9jFvfYASU4I+97oWgX+EZ1lxyqOPAUqKE4c8jeTVhq7sUw/JzvYnWj1mpNgSkyrY5USA==" saltValue="yXQCVz24ciqysPPifINPZQ==" spinCount="100000" sheet="1" insertHyperlinks="0" autoFilter="0"/>
  <mergeCells count="19">
    <mergeCell ref="B52:D52"/>
    <mergeCell ref="B73:D73"/>
    <mergeCell ref="B84:D84"/>
    <mergeCell ref="B216:D216"/>
    <mergeCell ref="F2:I2"/>
    <mergeCell ref="F3:I9"/>
    <mergeCell ref="B162:D162"/>
    <mergeCell ref="B192:D192"/>
    <mergeCell ref="B210:D210"/>
    <mergeCell ref="B110:D110"/>
    <mergeCell ref="B124:D124"/>
    <mergeCell ref="B136:D136"/>
    <mergeCell ref="B142:D142"/>
    <mergeCell ref="B154:D154"/>
    <mergeCell ref="B90:D90"/>
    <mergeCell ref="B10:D10"/>
    <mergeCell ref="B158:D158"/>
    <mergeCell ref="B2:D2"/>
    <mergeCell ref="B44:D44"/>
  </mergeCells>
  <conditionalFormatting sqref="F46 H46">
    <cfRule type="expression" dxfId="630" priority="229">
      <formula>$D$46="Y"</formula>
    </cfRule>
  </conditionalFormatting>
  <conditionalFormatting sqref="F54 H54 F58 H58 F60 H60 F64 H64 F66 H66 F68 H68 F70 H70">
    <cfRule type="expression" dxfId="629" priority="225">
      <formula>$D54="Y"</formula>
    </cfRule>
  </conditionalFormatting>
  <conditionalFormatting sqref="F81 H81">
    <cfRule type="expression" dxfId="628" priority="222">
      <formula>$D$81="Y"</formula>
    </cfRule>
  </conditionalFormatting>
  <conditionalFormatting sqref="F16">
    <cfRule type="expression" dxfId="627" priority="220">
      <formula>$D$16="Y"</formula>
    </cfRule>
  </conditionalFormatting>
  <conditionalFormatting sqref="F20">
    <cfRule type="expression" dxfId="626" priority="218">
      <formula>$D$20="Y"</formula>
    </cfRule>
  </conditionalFormatting>
  <conditionalFormatting sqref="F114 H114">
    <cfRule type="expression" dxfId="625" priority="216">
      <formula>$D$114="Y"</formula>
    </cfRule>
  </conditionalFormatting>
  <conditionalFormatting sqref="F130 H130">
    <cfRule type="expression" dxfId="624" priority="211">
      <formula>$D$130="Y"</formula>
    </cfRule>
  </conditionalFormatting>
  <conditionalFormatting sqref="F132 H132">
    <cfRule type="expression" dxfId="623" priority="210">
      <formula>$D$132="Y"</formula>
    </cfRule>
  </conditionalFormatting>
  <conditionalFormatting sqref="F126 H126 B128 D128 F128 H128">
    <cfRule type="expression" dxfId="622" priority="208">
      <formula>$D$126="Y"</formula>
    </cfRule>
  </conditionalFormatting>
  <conditionalFormatting sqref="F134 H134">
    <cfRule type="expression" dxfId="621" priority="207">
      <formula>$D$134="Y"</formula>
    </cfRule>
  </conditionalFormatting>
  <conditionalFormatting sqref="F164 H164 B166 D166">
    <cfRule type="expression" dxfId="620" priority="125">
      <formula>$D$164="Y"</formula>
    </cfRule>
  </conditionalFormatting>
  <conditionalFormatting sqref="F188 H188">
    <cfRule type="expression" dxfId="619" priority="124">
      <formula>$D$188="Y"</formula>
    </cfRule>
  </conditionalFormatting>
  <conditionalFormatting sqref="F168 B170 D170">
    <cfRule type="expression" dxfId="618" priority="110">
      <formula>$D$168="Y"</formula>
    </cfRule>
  </conditionalFormatting>
  <conditionalFormatting sqref="F172 B174 D174">
    <cfRule type="expression" dxfId="617" priority="109">
      <formula>$D$172="Y"</formula>
    </cfRule>
  </conditionalFormatting>
  <conditionalFormatting sqref="F176 B178 D178">
    <cfRule type="expression" dxfId="616" priority="108">
      <formula>$D$176="Y"</formula>
    </cfRule>
  </conditionalFormatting>
  <conditionalFormatting sqref="F180 B182 D182">
    <cfRule type="expression" dxfId="615" priority="107">
      <formula>$D$180="Y"</formula>
    </cfRule>
  </conditionalFormatting>
  <conditionalFormatting sqref="F184 B186 D186">
    <cfRule type="expression" dxfId="614" priority="106">
      <formula>$D$184="Y"</formula>
    </cfRule>
  </conditionalFormatting>
  <conditionalFormatting sqref="B198 D198 F200 H200 B200 D200 B202 D202 H194">
    <cfRule type="expression" dxfId="613" priority="101">
      <formula>$D$194="Y"</formula>
    </cfRule>
  </conditionalFormatting>
  <conditionalFormatting sqref="B208 D208 F208 H208 B206 D206">
    <cfRule type="expression" dxfId="612" priority="100">
      <formula>$D$204="Y"</formula>
    </cfRule>
  </conditionalFormatting>
  <conditionalFormatting sqref="F36">
    <cfRule type="expression" dxfId="611" priority="71">
      <formula>$D$36="Y"</formula>
    </cfRule>
  </conditionalFormatting>
  <conditionalFormatting sqref="F14 H14 H16 H20 H22 H24 H26 H28 H30 H36">
    <cfRule type="expression" dxfId="610" priority="79">
      <formula>$D14="Y"</formula>
    </cfRule>
  </conditionalFormatting>
  <conditionalFormatting sqref="B164 D164 B168 D168 B172 D172 B176 D176 B180 D180 B184 D184 B188 D188 B190 D190">
    <cfRule type="expression" dxfId="609" priority="332">
      <formula>$D$32="Y"</formula>
    </cfRule>
  </conditionalFormatting>
  <conditionalFormatting sqref="B75 D75 B77 D77 F77 H77 B79 D79 B81 D81">
    <cfRule type="expression" dxfId="608" priority="350">
      <formula>$D$38="Y"</formula>
    </cfRule>
  </conditionalFormatting>
  <conditionalFormatting sqref="F22">
    <cfRule type="expression" dxfId="607" priority="78">
      <formula>$D$22="Y"</formula>
    </cfRule>
  </conditionalFormatting>
  <conditionalFormatting sqref="F24">
    <cfRule type="expression" dxfId="606" priority="77">
      <formula>$D$24="Y"</formula>
    </cfRule>
  </conditionalFormatting>
  <conditionalFormatting sqref="F26">
    <cfRule type="expression" dxfId="605" priority="76">
      <formula>$D$26="Y"</formula>
    </cfRule>
  </conditionalFormatting>
  <conditionalFormatting sqref="F28">
    <cfRule type="expression" dxfId="604" priority="75">
      <formula>$D$28="Y"</formula>
    </cfRule>
  </conditionalFormatting>
  <conditionalFormatting sqref="F30">
    <cfRule type="expression" dxfId="603" priority="73">
      <formula>$D$30="Y"</formula>
    </cfRule>
  </conditionalFormatting>
  <conditionalFormatting sqref="F32 F38:F39">
    <cfRule type="expression" dxfId="602" priority="58">
      <formula>$D32="Y"</formula>
    </cfRule>
  </conditionalFormatting>
  <conditionalFormatting sqref="F12 H12">
    <cfRule type="expression" dxfId="601" priority="57">
      <formula>$D$12="Y"</formula>
    </cfRule>
  </conditionalFormatting>
  <conditionalFormatting sqref="B73:D73">
    <cfRule type="expression" dxfId="600" priority="40">
      <formula>$D$38="Y"</formula>
    </cfRule>
  </conditionalFormatting>
  <conditionalFormatting sqref="B162:D162">
    <cfRule type="expression" dxfId="599" priority="31">
      <formula>$D$32="Y"</formula>
    </cfRule>
  </conditionalFormatting>
  <conditionalFormatting sqref="F120 H120">
    <cfRule type="expression" dxfId="598" priority="28">
      <formula>$D$120="Y"</formula>
    </cfRule>
  </conditionalFormatting>
  <conditionalFormatting sqref="F194 B196 D196">
    <cfRule type="expression" dxfId="597" priority="27">
      <formula>$D$194="Y"</formula>
    </cfRule>
  </conditionalFormatting>
  <conditionalFormatting sqref="F150 H150">
    <cfRule type="expression" dxfId="596" priority="26">
      <formula>$D$150="Y"</formula>
    </cfRule>
  </conditionalFormatting>
  <conditionalFormatting sqref="B98 D98 B102 D102 B106 D106">
    <cfRule type="expression" dxfId="595" priority="24">
      <formula>$D$96="Y"</formula>
    </cfRule>
  </conditionalFormatting>
  <conditionalFormatting sqref="F98 H98 B100 D100">
    <cfRule type="expression" dxfId="594" priority="23">
      <formula>$D$98="Y"</formula>
    </cfRule>
  </conditionalFormatting>
  <conditionalFormatting sqref="F102 H102 B104 D104">
    <cfRule type="expression" dxfId="593" priority="22">
      <formula>$D$102="Y"</formula>
    </cfRule>
  </conditionalFormatting>
  <conditionalFormatting sqref="F106 H106 B108 D108">
    <cfRule type="expression" dxfId="592" priority="21">
      <formula>$D$106="Y"</formula>
    </cfRule>
  </conditionalFormatting>
  <conditionalFormatting sqref="H168">
    <cfRule type="expression" dxfId="591" priority="20">
      <formula>$D$164="Y"</formula>
    </cfRule>
  </conditionalFormatting>
  <conditionalFormatting sqref="H172">
    <cfRule type="expression" dxfId="590" priority="19">
      <formula>$D$164="Y"</formula>
    </cfRule>
  </conditionalFormatting>
  <conditionalFormatting sqref="H176">
    <cfRule type="expression" dxfId="589" priority="18">
      <formula>$D$164="Y"</formula>
    </cfRule>
  </conditionalFormatting>
  <conditionalFormatting sqref="H180">
    <cfRule type="expression" dxfId="588" priority="17">
      <formula>$D$164="Y"</formula>
    </cfRule>
  </conditionalFormatting>
  <conditionalFormatting sqref="H184">
    <cfRule type="expression" dxfId="587" priority="16">
      <formula>$D$164="Y"</formula>
    </cfRule>
  </conditionalFormatting>
  <conditionalFormatting sqref="F42">
    <cfRule type="expression" dxfId="586" priority="15">
      <formula>$D$42="Y"</formula>
    </cfRule>
  </conditionalFormatting>
  <conditionalFormatting sqref="B216:D216">
    <cfRule type="expression" dxfId="585" priority="14">
      <formula>$D$42="Y"</formula>
    </cfRule>
  </conditionalFormatting>
  <conditionalFormatting sqref="B218 D218 B222 D222 B226 D226 B230 D230">
    <cfRule type="expression" dxfId="584" priority="13">
      <formula>$D$42="Y"</formula>
    </cfRule>
  </conditionalFormatting>
  <conditionalFormatting sqref="F218 H218 B220 D220">
    <cfRule type="expression" dxfId="583" priority="12">
      <formula>$D$218="Y"</formula>
    </cfRule>
  </conditionalFormatting>
  <conditionalFormatting sqref="F222 H222 B224 D224">
    <cfRule type="expression" dxfId="582" priority="10">
      <formula>$D$222="Y"</formula>
    </cfRule>
  </conditionalFormatting>
  <conditionalFormatting sqref="F226 H226 B228 D228">
    <cfRule type="expression" dxfId="581" priority="8">
      <formula>$D$226="Y"</formula>
    </cfRule>
  </conditionalFormatting>
  <conditionalFormatting sqref="F230 H230 B232 D232">
    <cfRule type="expression" dxfId="580" priority="6">
      <formula>$D$230="Y"</formula>
    </cfRule>
  </conditionalFormatting>
  <conditionalFormatting sqref="F79 H79">
    <cfRule type="expression" dxfId="579" priority="4">
      <formula>$D$79="Y"</formula>
    </cfRule>
  </conditionalFormatting>
  <conditionalFormatting sqref="F148 H148">
    <cfRule type="expression" dxfId="578" priority="3">
      <formula>$D$148="Y"</formula>
    </cfRule>
  </conditionalFormatting>
  <conditionalFormatting sqref="B194 D194 B204 D204">
    <cfRule type="expression" dxfId="577" priority="1084">
      <formula>$D$34="Y"</formula>
    </cfRule>
  </conditionalFormatting>
  <conditionalFormatting sqref="F34">
    <cfRule type="expression" dxfId="576" priority="1088">
      <formula>$D$34="Y"</formula>
    </cfRule>
  </conditionalFormatting>
  <conditionalFormatting sqref="B192:D192">
    <cfRule type="expression" dxfId="575" priority="1089">
      <formula>$D$34="Y"</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24" id="{D9D4ECA1-F4AC-481D-890E-19A453246293}">
            <xm:f>$D58='Data lists'!$C$3</xm:f>
            <x14:dxf>
              <border>
                <left style="thin">
                  <color auto="1"/>
                </left>
                <right style="thin">
                  <color auto="1"/>
                </right>
                <top style="thin">
                  <color auto="1"/>
                </top>
                <bottom style="thin">
                  <color auto="1"/>
                </bottom>
                <vertical/>
                <horizontal/>
              </border>
            </x14:dxf>
          </x14:cfRule>
          <xm:sqref>F58 H58 F60 H60</xm:sqref>
        </x14:conditionalFormatting>
        <x14:conditionalFormatting xmlns:xm="http://schemas.microsoft.com/office/excel/2006/main">
          <x14:cfRule type="expression" priority="196" id="{055CF251-661F-4CDF-BFD7-A67A87B2BD90}">
            <xm:f>$D$144='Data lists'!$N$7</xm:f>
            <x14:dxf>
              <border>
                <left style="thin">
                  <color auto="1"/>
                </left>
                <right style="thin">
                  <color auto="1"/>
                </right>
                <top style="thin">
                  <color auto="1"/>
                </top>
                <bottom style="thin">
                  <color auto="1"/>
                </bottom>
                <vertical/>
                <horizontal/>
              </border>
            </x14:dxf>
          </x14:cfRule>
          <xm:sqref>F144 H144</xm:sqref>
        </x14:conditionalFormatting>
        <x14:conditionalFormatting xmlns:xm="http://schemas.microsoft.com/office/excel/2006/main">
          <x14:cfRule type="expression" priority="111" id="{4FE6E9AC-9122-4F99-99A1-EE2BB6AB7C47}">
            <xm:f>$H164='Data lists'!$I$1</xm:f>
            <x14:dxf>
              <border>
                <left style="thin">
                  <color auto="1"/>
                </left>
                <right style="thin">
                  <color auto="1"/>
                </right>
                <top style="thin">
                  <color auto="1"/>
                </top>
                <bottom style="thin">
                  <color auto="1"/>
                </bottom>
                <vertical/>
                <horizontal/>
              </border>
            </x14:dxf>
          </x14:cfRule>
          <xm:sqref>F166 H166 F170 H170 F174 H174 F178 H178 F182 H182 F186 H186</xm:sqref>
        </x14:conditionalFormatting>
        <x14:conditionalFormatting xmlns:xm="http://schemas.microsoft.com/office/excel/2006/main">
          <x14:cfRule type="expression" priority="236" id="{50D774A1-3E7C-4345-BF5A-7EEF4E86F5A3}">
            <xm:f>$H$12='Data lists'!$I$1</xm:f>
            <x14:dxf>
              <border>
                <left style="thin">
                  <color auto="1"/>
                </left>
                <right style="thin">
                  <color auto="1"/>
                </right>
                <top style="thin">
                  <color auto="1"/>
                </top>
                <bottom style="thin">
                  <color auto="1"/>
                </bottom>
                <vertical/>
                <horizontal/>
              </border>
            </x14:dxf>
          </x14:cfRule>
          <xm:sqref>B46 D46 B48 D48 B50 D50</xm:sqref>
        </x14:conditionalFormatting>
        <x14:conditionalFormatting xmlns:xm="http://schemas.microsoft.com/office/excel/2006/main">
          <x14:cfRule type="expression" priority="244" id="{E9415EDD-6B7B-4099-B117-07F6D1AD8CDE}">
            <xm:f>$H$14='Data lists'!$I$1</xm:f>
            <x14:dxf>
              <border>
                <left style="thin">
                  <color auto="1"/>
                </left>
                <right style="thin">
                  <color auto="1"/>
                </right>
                <top style="thin">
                  <color auto="1"/>
                </top>
                <bottom style="thin">
                  <color auto="1"/>
                </bottom>
                <vertical/>
                <horizontal/>
              </border>
            </x14:dxf>
          </x14:cfRule>
          <xm:sqref>B54 D54 B56 D56 B58 D58 B60 D60 B62 D62 B64 D64 B66 D66 B68 D68 B70 D70</xm:sqref>
        </x14:conditionalFormatting>
        <x14:conditionalFormatting xmlns:xm="http://schemas.microsoft.com/office/excel/2006/main">
          <x14:cfRule type="expression" priority="245" id="{2CB37025-2992-4A8A-8A8A-8C96572E171D}">
            <xm:f>$H$16='Data lists'!$I$1</xm:f>
            <x14:dxf>
              <border>
                <left style="thin">
                  <color auto="1"/>
                </left>
                <right style="thin">
                  <color auto="1"/>
                </right>
                <top style="thin">
                  <color auto="1"/>
                </top>
                <bottom style="thin">
                  <color auto="1"/>
                </bottom>
                <vertical/>
                <horizontal/>
              </border>
            </x14:dxf>
          </x14:cfRule>
          <xm:sqref>B86 D86 B88 D88 F86 H86</xm:sqref>
        </x14:conditionalFormatting>
        <x14:conditionalFormatting xmlns:xm="http://schemas.microsoft.com/office/excel/2006/main">
          <x14:cfRule type="expression" priority="246" id="{43F6F8EC-A61E-4EBE-A89A-B29A0337A7A9}">
            <xm:f>$D$18='Data lists'!$I$1</xm:f>
            <x14:dxf>
              <border>
                <left style="thin">
                  <color auto="1"/>
                </left>
                <right style="thin">
                  <color auto="1"/>
                </right>
                <top style="thin">
                  <color auto="1"/>
                </top>
                <bottom style="thin">
                  <color auto="1"/>
                </bottom>
                <vertical/>
                <horizontal/>
              </border>
            </x14:dxf>
          </x14:cfRule>
          <xm:sqref>B92 D92 F92 H92 B94 D94</xm:sqref>
        </x14:conditionalFormatting>
        <x14:conditionalFormatting xmlns:xm="http://schemas.microsoft.com/office/excel/2006/main">
          <x14:cfRule type="expression" priority="252" id="{12D878B0-C46F-4793-B61D-6B3040E236D5}">
            <xm:f>$H$20='Data lists'!$I$1</xm:f>
            <x14:dxf>
              <border>
                <left style="thin">
                  <color auto="1"/>
                </left>
                <right style="thin">
                  <color auto="1"/>
                </right>
                <top style="thin">
                  <color auto="1"/>
                </top>
                <bottom style="thin">
                  <color auto="1"/>
                </bottom>
              </border>
            </x14:dxf>
          </x14:cfRule>
          <xm:sqref>D112 B116 B118 D118 B120 D120 B122 D122 F122 H122 F116 H116 B112 B114 D114 D116</xm:sqref>
        </x14:conditionalFormatting>
        <x14:conditionalFormatting xmlns:xm="http://schemas.microsoft.com/office/excel/2006/main">
          <x14:cfRule type="expression" priority="273" id="{3DE612A2-B3B2-4061-9BC5-18912CF0E71F}">
            <xm:f>$H$22='Data lists'!$I$1</xm:f>
            <x14:dxf>
              <border>
                <left style="thin">
                  <color auto="1"/>
                </left>
                <right style="thin">
                  <color auto="1"/>
                </right>
                <top style="thin">
                  <color auto="1"/>
                </top>
                <bottom style="thin">
                  <color auto="1"/>
                </bottom>
                <vertical/>
                <horizontal/>
              </border>
            </x14:dxf>
          </x14:cfRule>
          <xm:sqref>B126 B130 B132 B134 D126 D130 D132 D134</xm:sqref>
        </x14:conditionalFormatting>
        <x14:conditionalFormatting xmlns:xm="http://schemas.microsoft.com/office/excel/2006/main">
          <x14:cfRule type="expression" priority="296" id="{2E7FA39D-68F3-47BA-9656-2DE456F52F18}">
            <xm:f>$H$24='Data lists'!$I$1</xm:f>
            <x14:dxf>
              <border>
                <left style="thin">
                  <color auto="1"/>
                </left>
                <right style="thin">
                  <color auto="1"/>
                </right>
                <top style="thin">
                  <color auto="1"/>
                </top>
                <bottom style="thin">
                  <color auto="1"/>
                </bottom>
                <vertical/>
                <horizontal/>
              </border>
            </x14:dxf>
          </x14:cfRule>
          <xm:sqref>B138 D138 F138 H138 B140 D140</xm:sqref>
        </x14:conditionalFormatting>
        <x14:conditionalFormatting xmlns:xm="http://schemas.microsoft.com/office/excel/2006/main">
          <x14:cfRule type="expression" priority="327" id="{0CE3E5C3-8AFB-432D-BA9D-3D57443EC025}">
            <xm:f>$H$26='Data lists'!$I$1</xm:f>
            <x14:dxf>
              <border>
                <left style="thin">
                  <color auto="1"/>
                </left>
                <right style="thin">
                  <color auto="1"/>
                </right>
                <top style="thin">
                  <color auto="1"/>
                </top>
                <bottom style="thin">
                  <color auto="1"/>
                </bottom>
                <vertical/>
                <horizontal/>
              </border>
            </x14:dxf>
          </x14:cfRule>
          <xm:sqref>B144 D144 B146 D146 B148 D148 B152 D152 B150 D150</xm:sqref>
        </x14:conditionalFormatting>
        <x14:conditionalFormatting xmlns:xm="http://schemas.microsoft.com/office/excel/2006/main">
          <x14:cfRule type="expression" priority="331" id="{62FFCE9A-2151-433B-AA0D-C9F7968EA2E0}">
            <xm:f>$H$28='Data lists'!$I$1</xm:f>
            <x14:dxf>
              <border>
                <left style="thin">
                  <color auto="1"/>
                </left>
                <right style="thin">
                  <color auto="1"/>
                </right>
                <top style="thin">
                  <color auto="1"/>
                </top>
                <bottom style="thin">
                  <color auto="1"/>
                </bottom>
                <vertical/>
                <horizontal/>
              </border>
            </x14:dxf>
          </x14:cfRule>
          <xm:sqref>B156 D156 F156 H156</xm:sqref>
        </x14:conditionalFormatting>
        <x14:conditionalFormatting xmlns:xm="http://schemas.microsoft.com/office/excel/2006/main">
          <x14:cfRule type="expression" priority="349" id="{F1A83006-9065-432A-B647-052359BAAEB2}">
            <xm:f>$H$36='Data lists'!$I$1</xm:f>
            <x14:dxf>
              <border>
                <left style="thin">
                  <color auto="1"/>
                </left>
                <right style="thin">
                  <color auto="1"/>
                </right>
                <top style="thin">
                  <color auto="1"/>
                </top>
                <bottom style="thin">
                  <color auto="1"/>
                </bottom>
                <vertical/>
                <horizontal/>
              </border>
            </x14:dxf>
          </x14:cfRule>
          <xm:sqref>B212 D212 F212 H212 B214 D214 F214 H214</xm:sqref>
        </x14:conditionalFormatting>
        <x14:conditionalFormatting xmlns:xm="http://schemas.microsoft.com/office/excel/2006/main">
          <x14:cfRule type="expression" priority="61" id="{28EA71B1-D87C-419B-B2CD-A3BE883DFB09}">
            <xm:f>$H$30='Data lists'!$I$1</xm:f>
            <x14:dxf>
              <border>
                <left style="thin">
                  <color auto="1"/>
                </left>
                <right style="thin">
                  <color auto="1"/>
                </right>
                <top style="thin">
                  <color auto="1"/>
                </top>
                <bottom style="thin">
                  <color auto="1"/>
                </bottom>
                <vertical/>
                <horizontal/>
              </border>
            </x14:dxf>
          </x14:cfRule>
          <xm:sqref>B160 D160 F160 H160</xm:sqref>
        </x14:conditionalFormatting>
        <x14:conditionalFormatting xmlns:xm="http://schemas.microsoft.com/office/excel/2006/main">
          <x14:cfRule type="expression" priority="60" id="{E8072669-C018-44AA-8D98-B54EEEA58BE7}">
            <xm:f>$H12='Data lists'!$I$1</xm:f>
            <x14:dxf>
              <fill>
                <patternFill>
                  <bgColor rgb="FFFFFF00"/>
                </patternFill>
              </fill>
              <border>
                <left style="thin">
                  <color auto="1"/>
                </left>
                <right style="thin">
                  <color auto="1"/>
                </right>
                <top style="thin">
                  <color auto="1"/>
                </top>
                <bottom style="thin">
                  <color auto="1"/>
                </bottom>
                <vertical/>
                <horizontal/>
              </border>
            </x14:dxf>
          </x14:cfRule>
          <xm:sqref>J12 J14 J16 J20 J22 J24 J26 J28 J30 J33 J36</xm:sqref>
        </x14:conditionalFormatting>
        <x14:conditionalFormatting xmlns:xm="http://schemas.microsoft.com/office/excel/2006/main">
          <x14:cfRule type="expression" priority="59" id="{C2A6842F-CACC-4E00-B5BA-810FECDB0CE1}">
            <xm:f>$D$18='Data lists'!$I$1</xm:f>
            <x14:dxf>
              <fill>
                <patternFill>
                  <bgColor rgb="FFFFFF00"/>
                </patternFill>
              </fill>
              <border>
                <left style="thin">
                  <color auto="1"/>
                </left>
                <right style="thin">
                  <color auto="1"/>
                </right>
                <top style="thin">
                  <color auto="1"/>
                </top>
                <bottom style="thin">
                  <color auto="1"/>
                </bottom>
                <vertical/>
                <horizontal/>
              </border>
            </x14:dxf>
          </x14:cfRule>
          <xm:sqref>F18</xm:sqref>
        </x14:conditionalFormatting>
        <x14:conditionalFormatting xmlns:xm="http://schemas.microsoft.com/office/excel/2006/main">
          <x14:cfRule type="expression" priority="53" id="{0A87E832-23C2-426B-8062-4CB8C777B692}">
            <xm:f>$H$12='Data lists'!$I$1</xm:f>
            <x14:dxf>
              <font>
                <b/>
                <i val="0"/>
                <color theme="0"/>
              </font>
              <fill>
                <patternFill>
                  <bgColor theme="4" tint="-0.499984740745262"/>
                </patternFill>
              </fill>
            </x14:dxf>
          </x14:cfRule>
          <xm:sqref>B44:D44</xm:sqref>
        </x14:conditionalFormatting>
        <x14:conditionalFormatting xmlns:xm="http://schemas.microsoft.com/office/excel/2006/main">
          <x14:cfRule type="expression" priority="41" id="{D08707F7-2ABD-45D4-8677-291A1B9B973D}">
            <xm:f>$H$14='Data lists'!$I$1</xm:f>
            <x14:dxf>
              <font>
                <b/>
                <i val="0"/>
                <color theme="0"/>
              </font>
              <fill>
                <patternFill>
                  <bgColor theme="4" tint="-0.499984740745262"/>
                </patternFill>
              </fill>
            </x14:dxf>
          </x14:cfRule>
          <xm:sqref>B52:D52</xm:sqref>
        </x14:conditionalFormatting>
        <x14:conditionalFormatting xmlns:xm="http://schemas.microsoft.com/office/excel/2006/main">
          <x14:cfRule type="expression" priority="39" id="{1999DECD-638C-4F03-975B-56CF1CFD4A6C}">
            <xm:f>$H$16='Data lists'!$I$1</xm:f>
            <x14:dxf>
              <font>
                <b/>
                <i val="0"/>
                <color theme="0"/>
              </font>
              <fill>
                <patternFill>
                  <bgColor theme="4" tint="-0.499984740745262"/>
                </patternFill>
              </fill>
            </x14:dxf>
          </x14:cfRule>
          <xm:sqref>B84:D84</xm:sqref>
        </x14:conditionalFormatting>
        <x14:conditionalFormatting xmlns:xm="http://schemas.microsoft.com/office/excel/2006/main">
          <x14:cfRule type="expression" priority="38" id="{747A8075-095F-4051-837E-59EF50F34D47}">
            <xm:f>$D$18='Data lists'!$I$1</xm:f>
            <x14:dxf>
              <font>
                <b/>
                <i val="0"/>
                <color theme="0"/>
              </font>
              <fill>
                <patternFill>
                  <bgColor theme="4" tint="-0.499984740745262"/>
                </patternFill>
              </fill>
            </x14:dxf>
          </x14:cfRule>
          <xm:sqref>B90:D90</xm:sqref>
        </x14:conditionalFormatting>
        <x14:conditionalFormatting xmlns:xm="http://schemas.microsoft.com/office/excel/2006/main">
          <x14:cfRule type="expression" priority="37" id="{2BFBA002-AC97-4212-9947-66FD76ACF023}">
            <xm:f>$H$20='Data lists'!$I$1</xm:f>
            <x14:dxf>
              <font>
                <b/>
                <i val="0"/>
                <color theme="0"/>
              </font>
              <fill>
                <patternFill>
                  <bgColor theme="4" tint="-0.499984740745262"/>
                </patternFill>
              </fill>
            </x14:dxf>
          </x14:cfRule>
          <xm:sqref>B110:D110</xm:sqref>
        </x14:conditionalFormatting>
        <x14:conditionalFormatting xmlns:xm="http://schemas.microsoft.com/office/excel/2006/main">
          <x14:cfRule type="expression" priority="36" id="{02C7C7AC-C145-49E5-A841-A66534C61ACB}">
            <xm:f>$H$22='Data lists'!$I$1</xm:f>
            <x14:dxf>
              <font>
                <b/>
                <i val="0"/>
                <color theme="0"/>
              </font>
              <fill>
                <patternFill>
                  <bgColor theme="4" tint="-0.499984740745262"/>
                </patternFill>
              </fill>
            </x14:dxf>
          </x14:cfRule>
          <xm:sqref>B124:D124</xm:sqref>
        </x14:conditionalFormatting>
        <x14:conditionalFormatting xmlns:xm="http://schemas.microsoft.com/office/excel/2006/main">
          <x14:cfRule type="expression" priority="35" id="{FDBDF34D-E2D9-4769-B241-77217264544F}">
            <xm:f>$H$24='Data lists'!$I$1</xm:f>
            <x14:dxf>
              <font>
                <b/>
                <i val="0"/>
                <color theme="0"/>
              </font>
              <fill>
                <patternFill>
                  <bgColor theme="4" tint="-0.499984740745262"/>
                </patternFill>
              </fill>
            </x14:dxf>
          </x14:cfRule>
          <xm:sqref>B136:D136</xm:sqref>
        </x14:conditionalFormatting>
        <x14:conditionalFormatting xmlns:xm="http://schemas.microsoft.com/office/excel/2006/main">
          <x14:cfRule type="expression" priority="34" id="{719B3D93-0D57-452D-9AB0-C9B23AEC9564}">
            <xm:f>$H$26='Data lists'!$I$1</xm:f>
            <x14:dxf>
              <font>
                <b/>
                <i val="0"/>
                <color theme="0"/>
              </font>
              <fill>
                <patternFill>
                  <bgColor theme="4" tint="-0.499984740745262"/>
                </patternFill>
              </fill>
            </x14:dxf>
          </x14:cfRule>
          <xm:sqref>B142:D142</xm:sqref>
        </x14:conditionalFormatting>
        <x14:conditionalFormatting xmlns:xm="http://schemas.microsoft.com/office/excel/2006/main">
          <x14:cfRule type="expression" priority="33" id="{76F90139-11EC-450D-8919-744B46AE335F}">
            <xm:f>$H$28='Data lists'!$I$1</xm:f>
            <x14:dxf>
              <font>
                <b/>
                <i val="0"/>
                <color theme="0"/>
              </font>
              <fill>
                <patternFill>
                  <bgColor theme="4" tint="-0.499984740745262"/>
                </patternFill>
              </fill>
            </x14:dxf>
          </x14:cfRule>
          <xm:sqref>B154:D154</xm:sqref>
        </x14:conditionalFormatting>
        <x14:conditionalFormatting xmlns:xm="http://schemas.microsoft.com/office/excel/2006/main">
          <x14:cfRule type="expression" priority="32" id="{EC211EBD-D7CA-4D72-B196-FC06B3655DB7}">
            <xm:f>$H$30='Data lists'!$I$1</xm:f>
            <x14:dxf>
              <font>
                <b/>
                <i val="0"/>
                <color theme="0"/>
              </font>
              <fill>
                <patternFill>
                  <bgColor theme="4" tint="-0.499984740745262"/>
                </patternFill>
              </fill>
            </x14:dxf>
          </x14:cfRule>
          <xm:sqref>B158:D158</xm:sqref>
        </x14:conditionalFormatting>
        <x14:conditionalFormatting xmlns:xm="http://schemas.microsoft.com/office/excel/2006/main">
          <x14:cfRule type="expression" priority="29" id="{7DDAB332-0FE3-4AA1-8CA8-34DDE9E8B765}">
            <xm:f>$H$36='Data lists'!$I$1</xm:f>
            <x14:dxf>
              <font>
                <b/>
                <i val="0"/>
                <color theme="0"/>
              </font>
              <fill>
                <patternFill>
                  <bgColor theme="4" tint="-0.499984740745262"/>
                </patternFill>
              </fill>
            </x14:dxf>
          </x14:cfRule>
          <xm:sqref>B210:D210</xm:sqref>
        </x14:conditionalFormatting>
        <x14:conditionalFormatting xmlns:xm="http://schemas.microsoft.com/office/excel/2006/main">
          <x14:cfRule type="expression" priority="25" id="{0353F88F-727E-4277-9CD8-0972EF1666F8}">
            <xm:f>$D$18='Data lists'!$I$1</xm:f>
            <x14:dxf>
              <border>
                <left style="thin">
                  <color auto="1"/>
                </left>
                <right style="thin">
                  <color auto="1"/>
                </right>
                <top style="thin">
                  <color auto="1"/>
                </top>
                <bottom style="thin">
                  <color auto="1"/>
                </bottom>
                <vertical/>
                <horizontal/>
              </border>
            </x14:dxf>
          </x14:cfRule>
          <xm:sqref>B96 D96</xm:sqref>
        </x14:conditionalFormatting>
        <x14:conditionalFormatting xmlns:xm="http://schemas.microsoft.com/office/excel/2006/main">
          <x14:cfRule type="expression" priority="11" id="{DD08C19F-D82B-49D6-8527-9B533DDA76F5}">
            <xm:f>$D$218='Data lists'!$C$3</xm:f>
            <x14:dxf>
              <border>
                <left style="thin">
                  <color auto="1"/>
                </left>
                <right style="thin">
                  <color auto="1"/>
                </right>
                <top style="thin">
                  <color auto="1"/>
                </top>
                <bottom style="thin">
                  <color auto="1"/>
                </bottom>
                <vertical/>
                <horizontal/>
              </border>
            </x14:dxf>
          </x14:cfRule>
          <xm:sqref>F218 H218 B220 D220</xm:sqref>
        </x14:conditionalFormatting>
        <x14:conditionalFormatting xmlns:xm="http://schemas.microsoft.com/office/excel/2006/main">
          <x14:cfRule type="expression" priority="9" id="{0F9C6A87-BFBF-46C3-B1D6-C09A2D61E49D}">
            <xm:f>$D$222='Data lists'!$C$3</xm:f>
            <x14:dxf>
              <border>
                <left style="thin">
                  <color auto="1"/>
                </left>
                <right style="thin">
                  <color auto="1"/>
                </right>
                <top style="thin">
                  <color auto="1"/>
                </top>
                <bottom style="thin">
                  <color auto="1"/>
                </bottom>
                <vertical/>
                <horizontal/>
              </border>
            </x14:dxf>
          </x14:cfRule>
          <xm:sqref>F222 H222 B224 D224</xm:sqref>
        </x14:conditionalFormatting>
        <x14:conditionalFormatting xmlns:xm="http://schemas.microsoft.com/office/excel/2006/main">
          <x14:cfRule type="expression" priority="7" id="{3FA21F03-C8E3-4F86-8421-C43863CAE466}">
            <xm:f>$D$226='Data lists'!$C$3</xm:f>
            <x14:dxf>
              <border>
                <left style="thin">
                  <color auto="1"/>
                </left>
                <right style="thin">
                  <color auto="1"/>
                </right>
                <top style="thin">
                  <color auto="1"/>
                </top>
                <bottom style="thin">
                  <color auto="1"/>
                </bottom>
                <vertical/>
                <horizontal/>
              </border>
            </x14:dxf>
          </x14:cfRule>
          <xm:sqref>F226 H226 B228 D228</xm:sqref>
        </x14:conditionalFormatting>
        <x14:conditionalFormatting xmlns:xm="http://schemas.microsoft.com/office/excel/2006/main">
          <x14:cfRule type="expression" priority="5" id="{84ADBF08-AEC1-48A3-A5FA-5E1C70AB702B}">
            <xm:f>$D$230='Data lists'!$C$3</xm:f>
            <x14:dxf>
              <border>
                <left style="thin">
                  <color auto="1"/>
                </left>
                <right style="thin">
                  <color auto="1"/>
                </right>
                <top style="thin">
                  <color auto="1"/>
                </top>
                <bottom style="thin">
                  <color auto="1"/>
                </bottom>
                <vertical/>
                <horizontal/>
              </border>
            </x14:dxf>
          </x14:cfRule>
          <xm:sqref>F230 H230 B232 D232</xm:sqref>
        </x14:conditionalFormatting>
        <x14:conditionalFormatting xmlns:xm="http://schemas.microsoft.com/office/excel/2006/main">
          <x14:cfRule type="expression" priority="2" id="{AF40DD98-5145-4FCC-AD3A-6B84E34DEA92}">
            <xm:f>$D$196='Data lists'!$I$1</xm:f>
            <x14:dxf>
              <border>
                <left style="thin">
                  <color auto="1"/>
                </left>
                <right style="thin">
                  <color auto="1"/>
                </right>
                <top style="thin">
                  <color auto="1"/>
                </top>
                <bottom style="thin">
                  <color auto="1"/>
                </bottom>
                <vertical/>
                <horizontal/>
              </border>
            </x14:dxf>
          </x14:cfRule>
          <xm:sqref>F196 H196</xm:sqref>
        </x14:conditionalFormatting>
        <x14:conditionalFormatting xmlns:xm="http://schemas.microsoft.com/office/excel/2006/main">
          <x14:cfRule type="expression" priority="1" id="{D231E363-55C5-4874-BEB4-EBA412CB3872}">
            <xm:f>$D$206='Data lists'!$I$1</xm:f>
            <x14:dxf>
              <border>
                <left style="thin">
                  <color auto="1"/>
                </left>
                <right style="thin">
                  <color auto="1"/>
                </right>
                <top style="thin">
                  <color auto="1"/>
                </top>
                <bottom style="thin">
                  <color auto="1"/>
                </bottom>
                <vertical/>
                <horizontal/>
              </border>
            </x14:dxf>
          </x14:cfRule>
          <xm:sqref>F206 H206</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436C9F4F-5D25-444E-BC22-D4AC52E1DBFA}">
          <x14:formula1>
            <xm:f>'Data lists'!$C$1:$C$2</xm:f>
          </x14:formula1>
          <xm:sqref>D12 D46 D50 D14 D64 D66 D68 D70 D54 D38:D43 D79 D81 D120 D116 D114 H113 D130 D132 D134 H130 D152 D148 D30 D190 D187:D188 D183:D185 D179:D181 D175:D177 D167:D169 D171:D173 D197:D198 D200 D92 D16 D20 D111 D22 D24 D137 D26 D28 D32 D34 D36 D126 D164:D165 D96 D86 D150 D194:D195 D203:D205 D207 D211</xm:sqref>
        </x14:dataValidation>
        <x14:dataValidation type="list" allowBlank="1" showInputMessage="1" showErrorMessage="1" xr:uid="{54CA01B3-96F4-4BCD-8ECB-8E27F7D5F5BE}">
          <x14:formula1>
            <xm:f>'Data lists'!$I$1:$I$4</xm:f>
          </x14:formula1>
          <xm:sqref>H12 D196 H14 H26 H36 H167:H169 H171:H173 H175:H177 H179:H181 H187 H211 D18 D91 H16 H20 H137 H22 H24 H28 H32 H164:H165 H30 H183:H185 D206 H197 H195</xm:sqref>
        </x14:dataValidation>
        <x14:dataValidation type="list" allowBlank="1" showInputMessage="1" showErrorMessage="1" xr:uid="{85D6261F-84FB-41D0-BBF1-7AB22FB84A6F}">
          <x14:formula1>
            <xm:f>'Data lists'!$L$1:$L$8</xm:f>
          </x14:formula1>
          <xm:sqref>D56 H70</xm:sqref>
        </x14:dataValidation>
        <x14:dataValidation type="list" allowBlank="1" showInputMessage="1" showErrorMessage="1" xr:uid="{15BF1D32-B8BE-44FB-B837-4E96F5E8D67E}">
          <x14:formula1>
            <xm:f>'Data lists'!$C$1:$C$3</xm:f>
          </x14:formula1>
          <xm:sqref>D58 D60 D62 H58 D98 D102:D104 D106 D218 D222 D226 D230</xm:sqref>
        </x14:dataValidation>
        <x14:dataValidation type="list" allowBlank="1" showInputMessage="1" showErrorMessage="1" xr:uid="{E2AA9028-1F08-4020-A00D-58FA5D61C0E8}">
          <x14:formula1>
            <xm:f>'Data lists'!$M$1:$M$2</xm:f>
          </x14:formula1>
          <xm:sqref>D75</xm:sqref>
        </x14:dataValidation>
        <x14:dataValidation type="list" allowBlank="1" showInputMessage="1" showErrorMessage="1" xr:uid="{3D20CC5B-66FF-4541-A546-C28CF79C26BF}">
          <x14:formula1>
            <xm:f>'Data lists'!$L$1:$L$7</xm:f>
          </x14:formula1>
          <xm:sqref>H77</xm:sqref>
        </x14:dataValidation>
        <x14:dataValidation type="list" allowBlank="1" showInputMessage="1" showErrorMessage="1" xr:uid="{F6C3D586-FF57-4CBE-A25C-58AEE1FD8BC9}">
          <x14:formula1>
            <xm:f>'Data lists'!$L$3:$L$8</xm:f>
          </x14:formula1>
          <xm:sqref>D88 D48</xm:sqref>
        </x14:dataValidation>
        <x14:dataValidation type="list" allowBlank="1" showInputMessage="1" showErrorMessage="1" xr:uid="{44D70F26-6F79-4808-B2A5-3635E13EB065}">
          <x14:formula1>
            <xm:f>'Data lists'!$L$1:$L$3</xm:f>
          </x14:formula1>
          <xm:sqref>D118</xm:sqref>
        </x14:dataValidation>
        <x14:dataValidation type="list" allowBlank="1" showInputMessage="1" showErrorMessage="1" xr:uid="{04F86EEB-0B5A-4F0B-BFFC-818B3E14E789}">
          <x14:formula1>
            <xm:f>'Data lists'!$N$1:$N$7</xm:f>
          </x14:formula1>
          <xm:sqref>D144</xm:sqref>
        </x14:dataValidation>
        <x14:dataValidation type="list" allowBlank="1" showInputMessage="1" showErrorMessage="1" xr:uid="{C04CD205-C885-4798-AC56-0960A6A0D163}">
          <x14:formula1>
            <xm:f>'Data lists'!$K$1:$K$4</xm:f>
          </x14:formula1>
          <xm:sqref>H166 H170 H174 H178 H182 H186 H196 H206</xm:sqref>
        </x14:dataValidation>
        <x14:dataValidation type="list" allowBlank="1" showInputMessage="1" showErrorMessage="1" xr:uid="{570345B0-A469-4A65-ABDF-AD483D6D045E}">
          <x14:formula1>
            <xm:f>'Data lists'!$L$1:$L$5</xm:f>
          </x14:formula1>
          <xm:sqref>D208</xm:sqref>
        </x14:dataValidation>
        <x14:dataValidation type="list" allowBlank="1" showInputMessage="1" showErrorMessage="1" xr:uid="{7BB35748-2B85-4BD3-8274-6EC5D6FC6C78}">
          <x14:formula1>
            <xm:f>'Data lists'!$L$1:$L$9</xm:f>
          </x14:formula1>
          <xm:sqref>D202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E7EF8-3573-4159-A006-E51733F774B5}">
  <sheetPr>
    <tabColor rgb="FFFFFF00"/>
  </sheetPr>
  <dimension ref="B1:I326"/>
  <sheetViews>
    <sheetView showGridLines="0" zoomScale="115" zoomScaleNormal="115" workbookViewId="0">
      <pane xSplit="1" ySplit="9" topLeftCell="B10" activePane="bottomRight" state="frozen"/>
      <selection pane="topRight" activeCell="G12" sqref="G12"/>
      <selection pane="bottomLeft" activeCell="G12" sqref="G12"/>
      <selection pane="bottomRight" activeCell="D16" sqref="D16"/>
    </sheetView>
  </sheetViews>
  <sheetFormatPr defaultColWidth="8.7265625" defaultRowHeight="15.5" x14ac:dyDescent="0.35"/>
  <cols>
    <col min="1" max="1" width="3.7265625" style="20" customWidth="1"/>
    <col min="2" max="2" width="40.7265625" style="58" customWidth="1"/>
    <col min="3" max="3" width="3.7265625" style="20" customWidth="1"/>
    <col min="4" max="4" width="40.7265625" style="20" customWidth="1"/>
    <col min="5" max="5" width="3.7265625" style="20" customWidth="1"/>
    <col min="6" max="6" width="40.7265625" style="20" customWidth="1"/>
    <col min="7" max="7" width="3.7265625" style="20" customWidth="1"/>
    <col min="8" max="8" width="40.7265625" style="20" customWidth="1"/>
    <col min="9" max="16384" width="8.7265625" style="20"/>
  </cols>
  <sheetData>
    <row r="1" spans="2:9" ht="16" thickBot="1" x14ac:dyDescent="0.4">
      <c r="B1" s="22"/>
    </row>
    <row r="2" spans="2:9" ht="16" thickBot="1" x14ac:dyDescent="0.4">
      <c r="B2" s="182" t="s">
        <v>10</v>
      </c>
      <c r="C2" s="183"/>
      <c r="D2" s="184"/>
      <c r="F2" s="179" t="s">
        <v>11</v>
      </c>
      <c r="G2" s="180"/>
      <c r="H2" s="180"/>
      <c r="I2" s="181"/>
    </row>
    <row r="3" spans="2:9" x14ac:dyDescent="0.35">
      <c r="B3" s="22"/>
      <c r="F3" s="165"/>
      <c r="G3" s="166"/>
      <c r="H3" s="166"/>
      <c r="I3" s="167"/>
    </row>
    <row r="4" spans="2:9" x14ac:dyDescent="0.35">
      <c r="B4" s="61" t="s">
        <v>12</v>
      </c>
      <c r="D4" s="56" t="str">
        <f>IF('Building Description'!D4="","",'Building Description'!D4)</f>
        <v/>
      </c>
      <c r="F4" s="165"/>
      <c r="G4" s="166"/>
      <c r="H4" s="166"/>
      <c r="I4" s="167"/>
    </row>
    <row r="5" spans="2:9" x14ac:dyDescent="0.35">
      <c r="B5" s="22"/>
      <c r="F5" s="165"/>
      <c r="G5" s="166"/>
      <c r="H5" s="166"/>
      <c r="I5" s="167"/>
    </row>
    <row r="6" spans="2:9" x14ac:dyDescent="0.35">
      <c r="B6" s="61" t="s">
        <v>13</v>
      </c>
      <c r="D6" s="56" t="str">
        <f>IF('Building Description'!D6="","",'Building Description'!D6)</f>
        <v/>
      </c>
      <c r="F6" s="165"/>
      <c r="G6" s="166"/>
      <c r="H6" s="166"/>
      <c r="I6" s="167"/>
    </row>
    <row r="7" spans="2:9" x14ac:dyDescent="0.35">
      <c r="B7" s="22"/>
      <c r="F7" s="165"/>
      <c r="G7" s="166"/>
      <c r="H7" s="166"/>
      <c r="I7" s="167"/>
    </row>
    <row r="8" spans="2:9" x14ac:dyDescent="0.35">
      <c r="B8" s="61" t="s">
        <v>14</v>
      </c>
      <c r="D8" s="56" t="str">
        <f>IF('Building Description'!D8="","",'Building Description'!D8)</f>
        <v/>
      </c>
      <c r="F8" s="165"/>
      <c r="G8" s="166"/>
      <c r="H8" s="166"/>
      <c r="I8" s="167"/>
    </row>
    <row r="9" spans="2:9" ht="16" thickBot="1" x14ac:dyDescent="0.4">
      <c r="B9" s="22"/>
      <c r="F9" s="168"/>
      <c r="G9" s="169"/>
      <c r="H9" s="169"/>
      <c r="I9" s="170"/>
    </row>
    <row r="10" spans="2:9" ht="16" thickBot="1" x14ac:dyDescent="0.4">
      <c r="B10" s="182" t="s">
        <v>87</v>
      </c>
      <c r="C10" s="183"/>
      <c r="D10" s="184"/>
    </row>
    <row r="12" spans="2:9" x14ac:dyDescent="0.35">
      <c r="B12" s="52" t="s">
        <v>88</v>
      </c>
      <c r="D12" s="96"/>
    </row>
    <row r="13" spans="2:9" x14ac:dyDescent="0.35">
      <c r="B13" s="51"/>
    </row>
    <row r="14" spans="2:9" x14ac:dyDescent="0.35">
      <c r="B14" s="52" t="s">
        <v>89</v>
      </c>
      <c r="D14" s="96"/>
    </row>
    <row r="16" spans="2:9" ht="31" x14ac:dyDescent="0.35">
      <c r="B16" s="57" t="s">
        <v>90</v>
      </c>
      <c r="D16" s="96"/>
    </row>
    <row r="18" spans="2:6" ht="31" x14ac:dyDescent="0.35">
      <c r="B18" s="60" t="s">
        <v>91</v>
      </c>
      <c r="D18" s="96"/>
      <c r="F18" s="20" t="str">
        <f>IF(D18='Data lists'!I1,"Go to row 324","")</f>
        <v/>
      </c>
    </row>
    <row r="20" spans="2:6" ht="31" x14ac:dyDescent="0.35">
      <c r="B20" s="60" t="s">
        <v>92</v>
      </c>
      <c r="D20" s="96"/>
      <c r="F20" s="20" t="str">
        <f>IF(D20="Y","Go to row XX","")</f>
        <v/>
      </c>
    </row>
    <row r="22" spans="2:6" ht="31" x14ac:dyDescent="0.35">
      <c r="B22" s="57" t="s">
        <v>93</v>
      </c>
      <c r="D22" s="96"/>
    </row>
    <row r="24" spans="2:6" x14ac:dyDescent="0.35">
      <c r="B24" s="58" t="str">
        <f>IF(D22='Data lists'!I1,"Mechanical and Electrical systems","")</f>
        <v/>
      </c>
      <c r="D24" s="72"/>
      <c r="F24" s="20" t="str">
        <f>IF(D24="Y","Go to row 38","")</f>
        <v/>
      </c>
    </row>
    <row r="26" spans="2:6" x14ac:dyDescent="0.35">
      <c r="B26" s="58" t="str">
        <f>IF(D22='Data lists'!I1,"Access systems","")</f>
        <v/>
      </c>
      <c r="D26" s="72"/>
      <c r="F26" s="20" t="str">
        <f>IF(D26="Y","Go to row 96","")</f>
        <v/>
      </c>
    </row>
    <row r="28" spans="2:6" x14ac:dyDescent="0.35">
      <c r="B28" s="58" t="str">
        <f>IF(D22='Data lists'!I1,"Safety and welfare systems","")</f>
        <v/>
      </c>
      <c r="D28" s="72"/>
      <c r="F28" s="20" t="str">
        <f>IF(D28="Y","Go to row 168","")</f>
        <v/>
      </c>
    </row>
    <row r="30" spans="2:6" x14ac:dyDescent="0.35">
      <c r="B30" s="58" t="str">
        <f>IF(D22='Data lists'!I1,"Security systems","")</f>
        <v/>
      </c>
      <c r="D30" s="72"/>
      <c r="F30" s="20" t="str">
        <f>IF(D30="Y","Go to row 245","")</f>
        <v/>
      </c>
    </row>
    <row r="32" spans="2:6" x14ac:dyDescent="0.35">
      <c r="B32" s="58" t="str">
        <f>IF(D22='Data lists'!I1,"Office and catering equipment","")</f>
        <v/>
      </c>
      <c r="D32" s="72"/>
      <c r="F32" s="20" t="str">
        <f>IF(D32="Y","Go to row 272","")</f>
        <v/>
      </c>
    </row>
    <row r="34" spans="2:8" x14ac:dyDescent="0.35">
      <c r="B34" s="58" t="str">
        <f>IF(D22='Data lists'!I1,"Locksmith Services required","")</f>
        <v/>
      </c>
      <c r="D34" s="72"/>
    </row>
    <row r="36" spans="2:8" x14ac:dyDescent="0.35">
      <c r="B36" s="58" t="str">
        <f>IF(D22='Data lists'!I1,"Specialist maintenance Services required","")</f>
        <v/>
      </c>
      <c r="D36" s="72"/>
      <c r="F36" s="20" t="str">
        <f>IF(D36="Y","Detail","")</f>
        <v/>
      </c>
      <c r="H36" s="72"/>
    </row>
    <row r="38" spans="2:8" x14ac:dyDescent="0.35">
      <c r="B38" s="175" t="str">
        <f>IF(D24="Y",B24,"")</f>
        <v/>
      </c>
      <c r="C38" s="175"/>
      <c r="D38" s="175"/>
    </row>
    <row r="39" spans="2:8" x14ac:dyDescent="0.35">
      <c r="B39" s="55"/>
      <c r="C39" s="55"/>
      <c r="D39" s="55"/>
    </row>
    <row r="40" spans="2:8" x14ac:dyDescent="0.35">
      <c r="B40" s="58" t="str">
        <f>IF(D24="Y","Is any remote monitoring in place","")</f>
        <v/>
      </c>
      <c r="C40" s="59"/>
      <c r="D40" s="72"/>
      <c r="F40" s="20" t="str">
        <f>IF(D40="Y","Detail","")</f>
        <v/>
      </c>
    </row>
    <row r="41" spans="2:8" x14ac:dyDescent="0.35">
      <c r="C41" s="59"/>
    </row>
    <row r="42" spans="2:8" x14ac:dyDescent="0.35">
      <c r="B42" s="58" t="str">
        <f>IF(D24="Y","Property has a building management system","")</f>
        <v/>
      </c>
      <c r="C42" s="59"/>
      <c r="D42" s="72"/>
      <c r="F42" s="20" t="str">
        <f>IF(D42="Y","Location","")</f>
        <v/>
      </c>
      <c r="H42" s="72"/>
    </row>
    <row r="43" spans="2:8" x14ac:dyDescent="0.35">
      <c r="C43" s="59"/>
    </row>
    <row r="44" spans="2:8" x14ac:dyDescent="0.35">
      <c r="B44" s="58" t="str">
        <f>IF(D42="Y","Who is responsible for maintenance","")</f>
        <v/>
      </c>
      <c r="C44" s="59"/>
      <c r="D44" s="72"/>
      <c r="F44" s="20" t="str">
        <f>IF(D44='Data lists'!I1,"Maintenance level","")</f>
        <v/>
      </c>
      <c r="H44" s="72"/>
    </row>
    <row r="45" spans="2:8" x14ac:dyDescent="0.35">
      <c r="C45" s="59"/>
    </row>
    <row r="46" spans="2:8" x14ac:dyDescent="0.35">
      <c r="B46" s="58" t="str">
        <f>IF(D42="Y","Who is responsible for repairs","")</f>
        <v/>
      </c>
      <c r="C46" s="59"/>
      <c r="D46" s="72"/>
      <c r="F46" s="20" t="str">
        <f>IF(D44='Data lists'!I1,"Do you require remote monitoring","")</f>
        <v/>
      </c>
      <c r="H46" s="72"/>
    </row>
    <row r="47" spans="2:8" x14ac:dyDescent="0.35">
      <c r="C47" s="59"/>
    </row>
    <row r="48" spans="2:8" x14ac:dyDescent="0.35">
      <c r="B48" s="58" t="str">
        <f>IF(D24="Y","Property has an uniterupted power supply","")</f>
        <v/>
      </c>
      <c r="C48" s="59"/>
      <c r="D48" s="72"/>
      <c r="F48" s="20" t="str">
        <f>IF(D48="Y","Location","")</f>
        <v/>
      </c>
      <c r="H48" s="72"/>
    </row>
    <row r="49" spans="2:8" x14ac:dyDescent="0.35">
      <c r="C49" s="59"/>
    </row>
    <row r="50" spans="2:8" x14ac:dyDescent="0.35">
      <c r="B50" s="58" t="str">
        <f>IF(D48="Y","Who is responsible for maintenance","")</f>
        <v/>
      </c>
      <c r="C50" s="59"/>
      <c r="D50" s="72"/>
      <c r="F50" s="20" t="str">
        <f>IF(D50='Data lists'!I1,"Maintenance Level","")</f>
        <v/>
      </c>
      <c r="H50" s="72"/>
    </row>
    <row r="51" spans="2:8" x14ac:dyDescent="0.35">
      <c r="C51" s="59"/>
    </row>
    <row r="52" spans="2:8" x14ac:dyDescent="0.35">
      <c r="B52" s="58" t="str">
        <f>IF(D48="Y","Who is responsible for repairs","")</f>
        <v/>
      </c>
      <c r="C52" s="59"/>
      <c r="D52" s="72"/>
      <c r="F52" s="20" t="str">
        <f>IF(D50='Data lists'!I1,"Do you require remote monitoring","")</f>
        <v/>
      </c>
      <c r="H52" s="72"/>
    </row>
    <row r="53" spans="2:8" x14ac:dyDescent="0.35">
      <c r="C53" s="59"/>
    </row>
    <row r="54" spans="2:8" x14ac:dyDescent="0.35">
      <c r="B54" s="58" t="str">
        <f>IF(D24="Y","Property has a standby generator","")</f>
        <v/>
      </c>
      <c r="C54" s="59"/>
      <c r="D54" s="72"/>
      <c r="F54" s="20" t="str">
        <f>IF(D54="Y","Location","")</f>
        <v/>
      </c>
      <c r="H54" s="72"/>
    </row>
    <row r="55" spans="2:8" x14ac:dyDescent="0.35">
      <c r="C55" s="59"/>
    </row>
    <row r="56" spans="2:8" x14ac:dyDescent="0.35">
      <c r="B56" s="58" t="str">
        <f>IF(D54="Y","Who is responsible for maintenance","")</f>
        <v/>
      </c>
      <c r="C56" s="59"/>
      <c r="D56" s="72"/>
      <c r="F56" s="20" t="str">
        <f>IF(D56='Data lists'!I1,"Maintenance Level","")</f>
        <v/>
      </c>
      <c r="H56" s="72"/>
    </row>
    <row r="57" spans="2:8" x14ac:dyDescent="0.35">
      <c r="C57" s="59"/>
    </row>
    <row r="58" spans="2:8" x14ac:dyDescent="0.35">
      <c r="B58" s="58" t="str">
        <f>IF(D54="Y","Who is responsible for repairs","")</f>
        <v/>
      </c>
      <c r="C58" s="59"/>
      <c r="D58" s="72"/>
      <c r="F58" s="20" t="str">
        <f>IF(D56='Data lists'!I1,"Where is fuel stored","")</f>
        <v/>
      </c>
      <c r="H58" s="72"/>
    </row>
    <row r="59" spans="2:8" x14ac:dyDescent="0.35">
      <c r="B59" s="51"/>
      <c r="C59" s="59"/>
    </row>
    <row r="60" spans="2:8" x14ac:dyDescent="0.35">
      <c r="B60" s="51" t="str">
        <f>IF(D56='Data lists'!I1,"What fuel is used","")</f>
        <v/>
      </c>
      <c r="C60" s="59"/>
      <c r="D60" s="72"/>
      <c r="F60" s="51" t="str">
        <f>IF(D56='Data lists'!I1,"Is fuel replenishment required","")</f>
        <v/>
      </c>
      <c r="H60" s="72"/>
    </row>
    <row r="61" spans="2:8" x14ac:dyDescent="0.35">
      <c r="B61" s="51"/>
      <c r="C61" s="59"/>
    </row>
    <row r="62" spans="2:8" x14ac:dyDescent="0.35">
      <c r="B62" s="51" t="str">
        <f>IF(D56='Data lists'!I1,"Is fuel polished","")</f>
        <v/>
      </c>
      <c r="C62" s="59"/>
      <c r="D62" s="72"/>
      <c r="F62" s="20" t="str">
        <f>IF(D62="Y","Detail","")</f>
        <v/>
      </c>
      <c r="H62" s="72"/>
    </row>
    <row r="63" spans="2:8" x14ac:dyDescent="0.35">
      <c r="B63" s="51"/>
      <c r="C63" s="59"/>
    </row>
    <row r="64" spans="2:8" x14ac:dyDescent="0.35">
      <c r="B64" s="20" t="str">
        <f>IF(D56='Data lists'!I1,"Are tank inspections required","")</f>
        <v/>
      </c>
      <c r="C64" s="59"/>
      <c r="D64" s="72"/>
      <c r="F64" s="20" t="str">
        <f>IF(D64="Y","Frequency","")</f>
        <v/>
      </c>
      <c r="H64" s="72"/>
    </row>
    <row r="65" spans="2:8" x14ac:dyDescent="0.35">
      <c r="B65" s="51"/>
      <c r="C65" s="59"/>
    </row>
    <row r="66" spans="2:8" x14ac:dyDescent="0.35">
      <c r="B66" s="58" t="str">
        <f>IF(D24="Y","Property has Solar Panels","")</f>
        <v/>
      </c>
      <c r="C66" s="59"/>
      <c r="D66" s="72"/>
      <c r="F66" s="20" t="str">
        <f>IF(D66="Y","Number and location","")</f>
        <v/>
      </c>
      <c r="H66" s="72"/>
    </row>
    <row r="67" spans="2:8" x14ac:dyDescent="0.35">
      <c r="C67" s="59"/>
    </row>
    <row r="68" spans="2:8" x14ac:dyDescent="0.35">
      <c r="B68" s="58" t="str">
        <f>IF(D66="Y","Who is responsible for maintenance","")</f>
        <v/>
      </c>
      <c r="C68" s="59"/>
      <c r="D68" s="72"/>
      <c r="F68" s="20" t="str">
        <f>IF(D68='Data lists'!I1,"Maintenance Level","")</f>
        <v/>
      </c>
      <c r="H68" s="72"/>
    </row>
    <row r="69" spans="2:8" x14ac:dyDescent="0.35">
      <c r="C69" s="59"/>
    </row>
    <row r="70" spans="2:8" x14ac:dyDescent="0.35">
      <c r="B70" s="58" t="str">
        <f>IF(D66="Y","Who is responsible for repairs","")</f>
        <v/>
      </c>
      <c r="C70" s="59"/>
      <c r="D70" s="72"/>
    </row>
    <row r="71" spans="2:8" s="2" customFormat="1" x14ac:dyDescent="0.35">
      <c r="B71" s="7"/>
    </row>
    <row r="72" spans="2:8" x14ac:dyDescent="0.35">
      <c r="B72" s="58" t="str">
        <f>IF(D24="Y","Property has Wind Turbines","")</f>
        <v/>
      </c>
      <c r="C72" s="59"/>
      <c r="D72" s="72"/>
      <c r="F72" s="20" t="str">
        <f>IF(D72="Y","Number and location","")</f>
        <v/>
      </c>
      <c r="H72" s="72"/>
    </row>
    <row r="73" spans="2:8" x14ac:dyDescent="0.35">
      <c r="C73" s="59"/>
    </row>
    <row r="74" spans="2:8" x14ac:dyDescent="0.35">
      <c r="B74" s="58" t="str">
        <f>IF(D72="Y","Who is responsible for maintenance","")</f>
        <v/>
      </c>
      <c r="C74" s="59"/>
      <c r="D74" s="72"/>
      <c r="F74" s="20" t="str">
        <f>IF(D74='Data lists'!I1,"Maintenance Level","")</f>
        <v/>
      </c>
      <c r="H74" s="72"/>
    </row>
    <row r="75" spans="2:8" x14ac:dyDescent="0.35">
      <c r="C75" s="59"/>
    </row>
    <row r="76" spans="2:8" x14ac:dyDescent="0.35">
      <c r="B76" s="58" t="str">
        <f>IF(D72="Y","Who is responsible for repairs","")</f>
        <v/>
      </c>
      <c r="C76" s="59"/>
      <c r="D76" s="72"/>
    </row>
    <row r="77" spans="2:8" s="2" customFormat="1" x14ac:dyDescent="0.35">
      <c r="B77" s="7"/>
    </row>
    <row r="78" spans="2:8" x14ac:dyDescent="0.35">
      <c r="B78" s="58" t="str">
        <f>IF(D24="Y","Site has External lighting","")</f>
        <v/>
      </c>
      <c r="C78" s="59"/>
      <c r="D78" s="72"/>
      <c r="F78" s="20" t="str">
        <f>IF(D78="Y","Number and location","")</f>
        <v/>
      </c>
      <c r="H78" s="72"/>
    </row>
    <row r="79" spans="2:8" x14ac:dyDescent="0.35">
      <c r="C79" s="59"/>
    </row>
    <row r="80" spans="2:8" x14ac:dyDescent="0.35">
      <c r="B80" s="58" t="str">
        <f>IF(D78="Y","Who is responsible for maintenance","")</f>
        <v/>
      </c>
      <c r="C80" s="59"/>
      <c r="D80" s="72"/>
      <c r="F80" s="20" t="str">
        <f>IF(D80='Data lists'!I1,"Maintenance Level","")</f>
        <v/>
      </c>
      <c r="H80" s="72"/>
    </row>
    <row r="81" spans="2:8" x14ac:dyDescent="0.35">
      <c r="C81" s="59"/>
    </row>
    <row r="82" spans="2:8" x14ac:dyDescent="0.35">
      <c r="B82" s="58" t="str">
        <f>IF(D78="Y","Who is responsible for repairs","")</f>
        <v/>
      </c>
      <c r="C82" s="59"/>
      <c r="D82" s="72"/>
    </row>
    <row r="83" spans="2:8" x14ac:dyDescent="0.35">
      <c r="B83" s="55"/>
      <c r="C83" s="55"/>
      <c r="D83" s="55"/>
    </row>
    <row r="84" spans="2:8" x14ac:dyDescent="0.35">
      <c r="B84" s="58" t="str">
        <f>IF(D24="Y","Property has window opening restrictors","")</f>
        <v/>
      </c>
      <c r="C84" s="59"/>
      <c r="D84" s="72"/>
      <c r="F84" s="20" t="str">
        <f>IF(D84="Y","Type and Location","")</f>
        <v/>
      </c>
      <c r="H84" s="72"/>
    </row>
    <row r="85" spans="2:8" x14ac:dyDescent="0.35">
      <c r="C85" s="59"/>
    </row>
    <row r="86" spans="2:8" x14ac:dyDescent="0.35">
      <c r="B86" s="58" t="str">
        <f>IF(D84="Y","Who is responsible for maintenance","")</f>
        <v/>
      </c>
      <c r="C86" s="59"/>
      <c r="D86" s="72"/>
      <c r="F86" s="20" t="str">
        <f>IF(D86='Data lists'!I1,"Maintenance Level","")</f>
        <v/>
      </c>
      <c r="H86" s="72"/>
    </row>
    <row r="87" spans="2:8" x14ac:dyDescent="0.35">
      <c r="C87" s="59"/>
    </row>
    <row r="88" spans="2:8" x14ac:dyDescent="0.35">
      <c r="B88" s="58" t="str">
        <f>IF(D84="Y","Who is responsible for repairs","")</f>
        <v/>
      </c>
      <c r="C88" s="59"/>
      <c r="D88" s="72"/>
    </row>
    <row r="89" spans="2:8" x14ac:dyDescent="0.35">
      <c r="B89" s="51"/>
    </row>
    <row r="90" spans="2:8" x14ac:dyDescent="0.35">
      <c r="B90" s="58" t="str">
        <f>IF(D24="Y","Does site have High Voltage (HV) and / or switchgear","")</f>
        <v/>
      </c>
      <c r="D90" s="72"/>
      <c r="F90" s="20" t="str">
        <f>IF(D90="Y","Location","")</f>
        <v/>
      </c>
      <c r="H90" s="72"/>
    </row>
    <row r="92" spans="2:8" x14ac:dyDescent="0.35">
      <c r="B92" s="58" t="str">
        <f>IF(D90="Y","Who is responsible for maintenance","")</f>
        <v/>
      </c>
      <c r="D92" s="72"/>
      <c r="F92" s="20" t="str">
        <f>IF(D92='Data lists'!I1,"Maintenance Level","")</f>
        <v/>
      </c>
      <c r="H92" s="72"/>
    </row>
    <row r="94" spans="2:8" x14ac:dyDescent="0.35">
      <c r="B94" s="58" t="str">
        <f>IF(D90="Y","Who is responsible for repairs","")</f>
        <v/>
      </c>
      <c r="D94" s="72"/>
    </row>
    <row r="95" spans="2:8" x14ac:dyDescent="0.35">
      <c r="B95" s="55"/>
      <c r="C95" s="55"/>
      <c r="D95" s="55"/>
    </row>
    <row r="96" spans="2:8" x14ac:dyDescent="0.35">
      <c r="B96" s="175" t="str">
        <f>IF(D26="Y",B26,"")</f>
        <v/>
      </c>
      <c r="C96" s="175"/>
      <c r="D96" s="175"/>
    </row>
    <row r="97" spans="2:8" x14ac:dyDescent="0.35">
      <c r="B97" s="55"/>
      <c r="C97" s="55"/>
      <c r="D97" s="55"/>
    </row>
    <row r="98" spans="2:8" x14ac:dyDescent="0.35">
      <c r="B98" s="21" t="str">
        <f>IF(D26="Y","Property has access control","")</f>
        <v/>
      </c>
      <c r="D98" s="72"/>
    </row>
    <row r="99" spans="2:8" x14ac:dyDescent="0.35">
      <c r="B99" s="21"/>
    </row>
    <row r="100" spans="2:8" x14ac:dyDescent="0.35">
      <c r="B100" s="21" t="str">
        <f>IF(D26="Y","Site has mechanical or electrical doors, gates or barriers","")</f>
        <v/>
      </c>
      <c r="C100" s="58"/>
      <c r="D100" s="95"/>
      <c r="E100" s="58"/>
      <c r="F100" s="58"/>
      <c r="G100" s="58"/>
      <c r="H100" s="58"/>
    </row>
    <row r="101" spans="2:8" x14ac:dyDescent="0.35">
      <c r="B101" s="21"/>
    </row>
    <row r="102" spans="2:8" x14ac:dyDescent="0.35">
      <c r="B102" s="175" t="str">
        <f>IF(D98="Y","Access control","")</f>
        <v/>
      </c>
      <c r="C102" s="175"/>
      <c r="D102" s="175"/>
    </row>
    <row r="103" spans="2:8" x14ac:dyDescent="0.35">
      <c r="B103" s="21"/>
    </row>
    <row r="104" spans="2:8" x14ac:dyDescent="0.35">
      <c r="B104" s="20" t="str">
        <f>IF(D98="Y","Location","")</f>
        <v/>
      </c>
      <c r="D104" s="72"/>
    </row>
    <row r="105" spans="2:8" x14ac:dyDescent="0.35">
      <c r="B105" s="21"/>
    </row>
    <row r="106" spans="2:8" x14ac:dyDescent="0.35">
      <c r="B106" s="58" t="str">
        <f>IF(D98="Y","Who is responsible for maintenance","")</f>
        <v/>
      </c>
      <c r="C106" s="58"/>
      <c r="D106" s="95"/>
      <c r="F106" s="20" t="str">
        <f>IF(D106='Data lists'!I1,"Maintenance Level","")</f>
        <v/>
      </c>
      <c r="H106" s="72"/>
    </row>
    <row r="107" spans="2:8" x14ac:dyDescent="0.35">
      <c r="C107" s="58"/>
      <c r="D107" s="58"/>
    </row>
    <row r="108" spans="2:8" x14ac:dyDescent="0.35">
      <c r="B108" s="58" t="str">
        <f>IF(D106='Data lists'!I1,"Details of system","")</f>
        <v/>
      </c>
      <c r="C108" s="58"/>
      <c r="D108" s="95"/>
    </row>
    <row r="109" spans="2:8" x14ac:dyDescent="0.35">
      <c r="C109" s="58"/>
      <c r="D109" s="58"/>
    </row>
    <row r="110" spans="2:8" x14ac:dyDescent="0.35">
      <c r="B110" s="58" t="str">
        <f>IF(D98="Y","Who is responsible for repairs","")</f>
        <v/>
      </c>
      <c r="C110" s="58"/>
      <c r="D110" s="95"/>
    </row>
    <row r="111" spans="2:8" x14ac:dyDescent="0.35">
      <c r="C111" s="58"/>
      <c r="D111" s="58"/>
    </row>
    <row r="112" spans="2:8" ht="32.25" customHeight="1" x14ac:dyDescent="0.35">
      <c r="B112" s="58" t="str">
        <f>IF(D106='Data lists'!I1,"Is access control systems/ pass producing required","")</f>
        <v/>
      </c>
      <c r="C112" s="55"/>
      <c r="D112" s="97"/>
    </row>
    <row r="114" spans="2:8" ht="33" customHeight="1" x14ac:dyDescent="0.35">
      <c r="B114" s="58" t="str">
        <f>IF(D112="Y","Is equipment on site","")</f>
        <v/>
      </c>
      <c r="D114" s="72"/>
      <c r="F114" s="58" t="str">
        <f>IF(D114="N","Provide detail on how passes are manufactured / obtained","")</f>
        <v/>
      </c>
    </row>
    <row r="116" spans="2:8" x14ac:dyDescent="0.35">
      <c r="B116" s="58" t="str">
        <f>IF(D114="Y","Is pass production equipment maintenance required","")</f>
        <v/>
      </c>
      <c r="D116" s="72"/>
      <c r="F116" s="20" t="str">
        <f>IF(D114="Y","Maintenance Level","")</f>
        <v/>
      </c>
      <c r="H116" s="72"/>
    </row>
    <row r="117" spans="2:8" x14ac:dyDescent="0.35">
      <c r="C117" s="58"/>
      <c r="D117" s="58"/>
    </row>
    <row r="118" spans="2:8" x14ac:dyDescent="0.35">
      <c r="B118" s="175" t="str">
        <f>IF(D100="Y","Mechanical or electrical doors, gates and barriers","")</f>
        <v/>
      </c>
      <c r="C118" s="175"/>
      <c r="D118" s="175"/>
    </row>
    <row r="119" spans="2:8" x14ac:dyDescent="0.35">
      <c r="B119" s="21"/>
      <c r="C119" s="58"/>
      <c r="D119" s="58"/>
      <c r="E119" s="58"/>
      <c r="F119" s="58"/>
      <c r="G119" s="58"/>
      <c r="H119" s="58"/>
    </row>
    <row r="120" spans="2:8" ht="30" customHeight="1" x14ac:dyDescent="0.35">
      <c r="B120" s="21" t="str">
        <f>IF($D$100="Y","Site has roller shutters","")</f>
        <v/>
      </c>
      <c r="C120" s="58"/>
      <c r="D120" s="95"/>
      <c r="E120" s="58"/>
      <c r="F120" s="58" t="str">
        <f>IF(D120="Y","Number, location and type (e.g. windows or doors","")</f>
        <v/>
      </c>
      <c r="G120" s="58"/>
      <c r="H120" s="95"/>
    </row>
    <row r="121" spans="2:8" x14ac:dyDescent="0.35">
      <c r="B121" s="21"/>
      <c r="C121" s="58"/>
      <c r="D121" s="58"/>
      <c r="E121" s="58"/>
      <c r="F121" s="58"/>
      <c r="G121" s="58"/>
      <c r="H121" s="58"/>
    </row>
    <row r="122" spans="2:8" x14ac:dyDescent="0.35">
      <c r="B122" s="58" t="str">
        <f>IF(D120="Y","Who is responsible for maintenance","")</f>
        <v/>
      </c>
      <c r="C122" s="58"/>
      <c r="D122" s="95"/>
      <c r="F122" s="20" t="str">
        <f>IF(D122='Data lists'!I1,"Maintenance Level","")</f>
        <v/>
      </c>
      <c r="H122" s="72"/>
    </row>
    <row r="123" spans="2:8" x14ac:dyDescent="0.35">
      <c r="B123" s="21"/>
      <c r="C123" s="58"/>
      <c r="D123" s="58"/>
      <c r="E123" s="58"/>
      <c r="F123" s="58"/>
      <c r="G123" s="58"/>
      <c r="H123" s="58"/>
    </row>
    <row r="124" spans="2:8" x14ac:dyDescent="0.35">
      <c r="B124" s="21" t="str">
        <f>IF(D122='Data lists'!I1,"Date last maintained","")</f>
        <v/>
      </c>
      <c r="C124" s="58"/>
      <c r="D124" s="95"/>
      <c r="E124" s="58"/>
      <c r="F124" s="58"/>
      <c r="G124" s="58"/>
      <c r="H124" s="58"/>
    </row>
    <row r="125" spans="2:8" x14ac:dyDescent="0.35">
      <c r="B125" s="21"/>
      <c r="C125" s="58"/>
      <c r="D125" s="58"/>
      <c r="E125" s="58"/>
      <c r="F125" s="58"/>
      <c r="G125" s="58"/>
      <c r="H125" s="58"/>
    </row>
    <row r="126" spans="2:8" x14ac:dyDescent="0.35">
      <c r="B126" s="58" t="str">
        <f>IF(D120="Y","Who is responsible for repairs","")</f>
        <v/>
      </c>
      <c r="C126" s="58"/>
      <c r="D126" s="95"/>
    </row>
    <row r="127" spans="2:8" x14ac:dyDescent="0.35">
      <c r="B127" s="21"/>
      <c r="C127" s="58"/>
      <c r="D127" s="58"/>
      <c r="E127" s="58"/>
      <c r="F127" s="58"/>
      <c r="G127" s="58"/>
      <c r="H127" s="58"/>
    </row>
    <row r="128" spans="2:8" x14ac:dyDescent="0.35">
      <c r="B128" s="21" t="str">
        <f>IF($D$100="Y","Site has automatic garage doors","")</f>
        <v/>
      </c>
      <c r="C128" s="58"/>
      <c r="D128" s="95"/>
      <c r="E128" s="58"/>
      <c r="F128" s="58" t="str">
        <f>IF(D128="Y","Number and location","")</f>
        <v/>
      </c>
      <c r="G128" s="58"/>
      <c r="H128" s="95"/>
    </row>
    <row r="129" spans="2:8" x14ac:dyDescent="0.35">
      <c r="B129" s="21"/>
      <c r="C129" s="58"/>
      <c r="D129" s="58"/>
      <c r="E129" s="58"/>
      <c r="F129" s="58"/>
      <c r="G129" s="58"/>
      <c r="H129" s="58"/>
    </row>
    <row r="130" spans="2:8" x14ac:dyDescent="0.35">
      <c r="B130" s="58" t="str">
        <f>IF(D128="Y","Who is responsible for maintenance","")</f>
        <v/>
      </c>
      <c r="C130" s="58"/>
      <c r="D130" s="95"/>
      <c r="F130" s="20" t="str">
        <f>IF(D130='Data lists'!I$1,"Maintenance Level","")</f>
        <v/>
      </c>
      <c r="H130" s="72"/>
    </row>
    <row r="131" spans="2:8" x14ac:dyDescent="0.35">
      <c r="B131" s="21"/>
      <c r="C131" s="58"/>
      <c r="D131" s="58"/>
      <c r="E131" s="58"/>
      <c r="F131" s="58"/>
      <c r="G131" s="58"/>
      <c r="H131" s="58"/>
    </row>
    <row r="132" spans="2:8" x14ac:dyDescent="0.35">
      <c r="B132" s="21" t="str">
        <f>IF(D130='Data lists'!I1,"Date last maintained","")</f>
        <v/>
      </c>
      <c r="C132" s="58"/>
      <c r="D132" s="95"/>
      <c r="E132" s="58"/>
      <c r="F132" s="58" t="str">
        <f>IF(D128="Y","Details","")</f>
        <v/>
      </c>
      <c r="G132" s="58"/>
      <c r="H132" s="58"/>
    </row>
    <row r="133" spans="2:8" x14ac:dyDescent="0.35">
      <c r="B133" s="21"/>
      <c r="C133" s="58"/>
      <c r="D133" s="58"/>
      <c r="E133" s="58"/>
      <c r="F133" s="58"/>
      <c r="G133" s="58"/>
      <c r="H133" s="58"/>
    </row>
    <row r="134" spans="2:8" x14ac:dyDescent="0.35">
      <c r="B134" s="58" t="str">
        <f>IF(D128="Y","Who is responsible for repairs","")</f>
        <v/>
      </c>
      <c r="C134" s="58"/>
      <c r="D134" s="95"/>
    </row>
    <row r="135" spans="2:8" x14ac:dyDescent="0.35">
      <c r="B135" s="21"/>
      <c r="C135" s="58"/>
      <c r="D135" s="58"/>
      <c r="E135" s="58"/>
      <c r="F135" s="58"/>
      <c r="G135" s="58"/>
      <c r="H135" s="58"/>
    </row>
    <row r="136" spans="2:8" x14ac:dyDescent="0.35">
      <c r="B136" s="21" t="str">
        <f>IF($D$100="Y","Site has automatic doors","")</f>
        <v/>
      </c>
      <c r="C136" s="58"/>
      <c r="D136" s="95"/>
      <c r="E136" s="58"/>
      <c r="F136" s="58" t="str">
        <f>IF(D136="Y","Number and location","")</f>
        <v/>
      </c>
      <c r="G136" s="95"/>
      <c r="H136" s="95"/>
    </row>
    <row r="137" spans="2:8" x14ac:dyDescent="0.35">
      <c r="B137" s="21"/>
      <c r="C137" s="58"/>
      <c r="D137" s="58"/>
      <c r="E137" s="58"/>
      <c r="F137" s="58"/>
      <c r="G137" s="58"/>
      <c r="H137" s="58"/>
    </row>
    <row r="138" spans="2:8" x14ac:dyDescent="0.35">
      <c r="B138" s="58" t="str">
        <f>IF(D136="Y","Who is responsible for maintenance","")</f>
        <v/>
      </c>
      <c r="C138" s="58"/>
      <c r="D138" s="95"/>
      <c r="F138" s="20" t="str">
        <f>IF(D138='Data lists'!I$1,"Maintenance Level","")</f>
        <v/>
      </c>
      <c r="H138" s="72"/>
    </row>
    <row r="139" spans="2:8" x14ac:dyDescent="0.35">
      <c r="B139" s="21"/>
      <c r="C139" s="58"/>
      <c r="D139" s="58"/>
      <c r="E139" s="58"/>
      <c r="F139" s="58"/>
      <c r="G139" s="58"/>
      <c r="H139" s="58"/>
    </row>
    <row r="140" spans="2:8" x14ac:dyDescent="0.35">
      <c r="B140" s="21" t="str">
        <f>IF(D138='Data lists'!I$1,"Date last maintained","")</f>
        <v/>
      </c>
      <c r="C140" s="58"/>
      <c r="D140" s="95"/>
      <c r="E140" s="58"/>
      <c r="F140" s="58"/>
      <c r="G140" s="58"/>
      <c r="H140" s="58"/>
    </row>
    <row r="141" spans="2:8" x14ac:dyDescent="0.35">
      <c r="B141" s="21"/>
      <c r="C141" s="58"/>
      <c r="D141" s="58"/>
      <c r="E141" s="58"/>
      <c r="F141" s="58"/>
      <c r="G141" s="58"/>
      <c r="H141" s="58"/>
    </row>
    <row r="142" spans="2:8" x14ac:dyDescent="0.35">
      <c r="B142" s="58" t="str">
        <f>IF(D136="Y","Who is responsible for repairs","")</f>
        <v/>
      </c>
      <c r="C142" s="58"/>
      <c r="D142" s="95"/>
    </row>
    <row r="143" spans="2:8" x14ac:dyDescent="0.35">
      <c r="B143" s="21"/>
      <c r="C143" s="58"/>
      <c r="D143" s="58"/>
      <c r="E143" s="58"/>
      <c r="F143" s="58"/>
      <c r="G143" s="58"/>
      <c r="H143" s="58"/>
    </row>
    <row r="144" spans="2:8" x14ac:dyDescent="0.35">
      <c r="B144" s="21" t="str">
        <f>IF($D$100="Y","Site has motorised internal entrance gates","")</f>
        <v/>
      </c>
      <c r="C144" s="58"/>
      <c r="D144" s="95"/>
      <c r="E144" s="58"/>
      <c r="F144" s="58" t="str">
        <f>IF(D144="Y","Number and location","")</f>
        <v/>
      </c>
      <c r="G144" s="58"/>
      <c r="H144" s="95"/>
    </row>
    <row r="145" spans="2:8" x14ac:dyDescent="0.35">
      <c r="B145" s="21"/>
      <c r="C145" s="58"/>
      <c r="D145" s="58"/>
      <c r="E145" s="58"/>
      <c r="F145" s="58"/>
      <c r="G145" s="58"/>
      <c r="H145" s="58"/>
    </row>
    <row r="146" spans="2:8" x14ac:dyDescent="0.35">
      <c r="B146" s="58" t="str">
        <f>IF(D144="Y","Who is responsible for maintenance","")</f>
        <v/>
      </c>
      <c r="C146" s="58"/>
      <c r="D146" s="95"/>
      <c r="F146" s="20" t="str">
        <f>IF(D146='Data lists'!I$1,"Maintenance Level","")</f>
        <v/>
      </c>
      <c r="H146" s="72"/>
    </row>
    <row r="147" spans="2:8" x14ac:dyDescent="0.35">
      <c r="B147" s="21"/>
      <c r="C147" s="58"/>
      <c r="D147" s="58"/>
      <c r="E147" s="58"/>
      <c r="F147" s="58"/>
      <c r="G147" s="58"/>
      <c r="H147" s="58"/>
    </row>
    <row r="148" spans="2:8" x14ac:dyDescent="0.35">
      <c r="B148" s="21" t="str">
        <f>IF(D146='Data lists'!I$1,"Date last maintained","")</f>
        <v/>
      </c>
      <c r="C148" s="58"/>
      <c r="D148" s="95"/>
      <c r="E148" s="58"/>
      <c r="F148" s="58"/>
      <c r="G148" s="58"/>
      <c r="H148" s="58"/>
    </row>
    <row r="149" spans="2:8" x14ac:dyDescent="0.35">
      <c r="B149" s="21"/>
      <c r="C149" s="58"/>
      <c r="D149" s="58"/>
      <c r="E149" s="58"/>
      <c r="F149" s="58"/>
      <c r="G149" s="58"/>
      <c r="H149" s="58"/>
    </row>
    <row r="150" spans="2:8" x14ac:dyDescent="0.35">
      <c r="B150" s="58" t="str">
        <f>IF(D144="Y","Who is responsible for repairs","")</f>
        <v/>
      </c>
      <c r="C150" s="58"/>
      <c r="D150" s="95"/>
    </row>
    <row r="151" spans="2:8" x14ac:dyDescent="0.35">
      <c r="B151" s="20"/>
    </row>
    <row r="152" spans="2:8" x14ac:dyDescent="0.35">
      <c r="B152" s="21" t="str">
        <f>IF($D$100="Y","Site has automated barriers","")</f>
        <v/>
      </c>
      <c r="C152" s="58"/>
      <c r="D152" s="95"/>
      <c r="E152" s="58"/>
      <c r="F152" s="58" t="str">
        <f>IF(D152="Y","Number and location","")</f>
        <v/>
      </c>
      <c r="G152" s="58"/>
      <c r="H152" s="95"/>
    </row>
    <row r="153" spans="2:8" x14ac:dyDescent="0.35">
      <c r="B153" s="21"/>
      <c r="C153" s="58"/>
      <c r="D153" s="58"/>
      <c r="E153" s="58"/>
      <c r="F153" s="58"/>
      <c r="G153" s="58"/>
      <c r="H153" s="58"/>
    </row>
    <row r="154" spans="2:8" x14ac:dyDescent="0.35">
      <c r="B154" s="58" t="str">
        <f>IF(D152="Y","Who is responsible for maintenance","")</f>
        <v/>
      </c>
      <c r="C154" s="58"/>
      <c r="D154" s="95"/>
      <c r="F154" s="20" t="str">
        <f>IF(D154='Data lists'!I$1,"Maintenance Level","")</f>
        <v/>
      </c>
      <c r="H154" s="72"/>
    </row>
    <row r="155" spans="2:8" x14ac:dyDescent="0.35">
      <c r="B155" s="21"/>
      <c r="C155" s="58"/>
      <c r="D155" s="58"/>
      <c r="E155" s="58"/>
      <c r="F155" s="58"/>
      <c r="G155" s="58"/>
      <c r="H155" s="58"/>
    </row>
    <row r="156" spans="2:8" x14ac:dyDescent="0.35">
      <c r="B156" s="21" t="str">
        <f>IF(D154='Data lists'!I$1,"Date last maintained","")</f>
        <v/>
      </c>
      <c r="C156" s="58"/>
      <c r="D156" s="95"/>
      <c r="E156" s="58"/>
      <c r="F156" s="58"/>
      <c r="G156" s="58"/>
      <c r="H156" s="58"/>
    </row>
    <row r="157" spans="2:8" x14ac:dyDescent="0.35">
      <c r="B157" s="21"/>
      <c r="C157" s="58"/>
      <c r="D157" s="58"/>
      <c r="E157" s="58"/>
      <c r="F157" s="58"/>
      <c r="G157" s="58"/>
      <c r="H157" s="58"/>
    </row>
    <row r="158" spans="2:8" x14ac:dyDescent="0.35">
      <c r="B158" s="58" t="str">
        <f>IF(D152="Y","Who is responsible for repairs","")</f>
        <v/>
      </c>
      <c r="C158" s="58"/>
      <c r="D158" s="95"/>
    </row>
    <row r="159" spans="2:8" x14ac:dyDescent="0.35">
      <c r="B159" s="21"/>
      <c r="C159" s="58"/>
      <c r="D159" s="58"/>
      <c r="E159" s="58"/>
      <c r="F159" s="58"/>
      <c r="G159" s="58"/>
      <c r="H159" s="58"/>
    </row>
    <row r="160" spans="2:8" x14ac:dyDescent="0.35">
      <c r="B160" s="21" t="str">
        <f>IF($D$100="Y","Site has automated external gates","")</f>
        <v/>
      </c>
      <c r="C160" s="58"/>
      <c r="D160" s="95"/>
      <c r="E160" s="58"/>
      <c r="F160" s="58" t="str">
        <f>IF(D160="Y","Number and location","")</f>
        <v/>
      </c>
      <c r="G160" s="58"/>
      <c r="H160" s="95"/>
    </row>
    <row r="161" spans="2:8" x14ac:dyDescent="0.35">
      <c r="B161" s="21"/>
      <c r="C161" s="58"/>
      <c r="D161" s="58"/>
      <c r="E161" s="58"/>
      <c r="F161" s="58"/>
      <c r="G161" s="58"/>
      <c r="H161" s="58"/>
    </row>
    <row r="162" spans="2:8" x14ac:dyDescent="0.35">
      <c r="B162" s="58" t="str">
        <f>IF(D160="Y","Who is responsible for maintenance","")</f>
        <v/>
      </c>
      <c r="C162" s="58"/>
      <c r="D162" s="95"/>
      <c r="F162" s="20" t="str">
        <f>IF(D162='Data lists'!I$1,"Maintenance Level","")</f>
        <v/>
      </c>
      <c r="H162" s="72"/>
    </row>
    <row r="163" spans="2:8" x14ac:dyDescent="0.35">
      <c r="B163" s="21"/>
      <c r="C163" s="58"/>
      <c r="D163" s="58"/>
      <c r="E163" s="58"/>
      <c r="F163" s="58"/>
      <c r="G163" s="58"/>
      <c r="H163" s="58"/>
    </row>
    <row r="164" spans="2:8" x14ac:dyDescent="0.35">
      <c r="B164" s="21" t="str">
        <f>IF(D162='Data lists'!I$1,"Date last maintained","")</f>
        <v/>
      </c>
      <c r="C164" s="58"/>
      <c r="D164" s="119"/>
      <c r="E164" s="58"/>
      <c r="F164" s="58"/>
      <c r="G164" s="58"/>
      <c r="H164" s="58"/>
    </row>
    <row r="165" spans="2:8" x14ac:dyDescent="0.35">
      <c r="B165" s="21"/>
      <c r="C165" s="58"/>
      <c r="D165" s="58"/>
      <c r="E165" s="58"/>
      <c r="F165" s="58"/>
      <c r="G165" s="58"/>
      <c r="H165" s="58"/>
    </row>
    <row r="166" spans="2:8" x14ac:dyDescent="0.35">
      <c r="B166" s="58" t="str">
        <f>IF(D160="Y","Who is responsible for repairs","")</f>
        <v/>
      </c>
      <c r="C166" s="58"/>
      <c r="D166" s="95"/>
    </row>
    <row r="168" spans="2:8" x14ac:dyDescent="0.35">
      <c r="B168" s="175" t="str">
        <f>IF(D28="Y",B28,"")</f>
        <v/>
      </c>
      <c r="C168" s="175"/>
      <c r="D168" s="175"/>
    </row>
    <row r="169" spans="2:8" x14ac:dyDescent="0.35">
      <c r="B169" s="21"/>
    </row>
    <row r="170" spans="2:8" x14ac:dyDescent="0.35">
      <c r="B170" s="21" t="str">
        <f>IF(D28="Y","Site has a gas detection system","")</f>
        <v/>
      </c>
      <c r="C170" s="58"/>
      <c r="D170" s="95"/>
      <c r="E170" s="58"/>
      <c r="F170" s="20" t="str">
        <f>IF(D170="Y","Location","")</f>
        <v/>
      </c>
      <c r="H170" s="72"/>
    </row>
    <row r="171" spans="2:8" x14ac:dyDescent="0.35">
      <c r="B171" s="21"/>
    </row>
    <row r="172" spans="2:8" x14ac:dyDescent="0.35">
      <c r="B172" s="58" t="str">
        <f>IF(D170="Y","Who is responsible for maintenance","")</f>
        <v/>
      </c>
      <c r="C172" s="58"/>
      <c r="D172" s="95"/>
      <c r="F172" s="20" t="str">
        <f>IF(D172='Data lists'!I1,"Maintenance Level","")</f>
        <v/>
      </c>
      <c r="H172" s="95"/>
    </row>
    <row r="173" spans="2:8" x14ac:dyDescent="0.35">
      <c r="B173" s="21"/>
    </row>
    <row r="174" spans="2:8" x14ac:dyDescent="0.35">
      <c r="B174" s="22" t="str">
        <f>IF(D172='Data lists'!I1,"Testing","")</f>
        <v/>
      </c>
      <c r="D174" s="72"/>
      <c r="F174" s="20" t="str">
        <f>IF(D174="Y","Frequency","")</f>
        <v/>
      </c>
      <c r="H174" s="72"/>
    </row>
    <row r="175" spans="2:8" x14ac:dyDescent="0.35">
      <c r="B175" s="22"/>
    </row>
    <row r="176" spans="2:8" x14ac:dyDescent="0.35">
      <c r="B176" s="58" t="str">
        <f>IF(D170="Y","Who is responsible for repairs","")</f>
        <v/>
      </c>
      <c r="C176" s="58"/>
      <c r="D176" s="95"/>
    </row>
    <row r="177" spans="2:8" x14ac:dyDescent="0.35">
      <c r="B177" s="22"/>
    </row>
    <row r="178" spans="2:8" x14ac:dyDescent="0.35">
      <c r="B178" s="21" t="str">
        <f>IF(D28="Y","Site has a bespoke CO2 monitoring system (separate from the BMS system)","")</f>
        <v/>
      </c>
      <c r="C178" s="58"/>
      <c r="D178" s="95"/>
      <c r="E178" s="58"/>
      <c r="F178" s="20" t="str">
        <f>IF(D178="Y","Location","")</f>
        <v/>
      </c>
      <c r="H178" s="72"/>
    </row>
    <row r="179" spans="2:8" x14ac:dyDescent="0.35">
      <c r="B179" s="21"/>
    </row>
    <row r="180" spans="2:8" x14ac:dyDescent="0.35">
      <c r="B180" s="58" t="str">
        <f>IF(D178="Y","Who is responsible for maintenance","")</f>
        <v/>
      </c>
      <c r="C180" s="58"/>
      <c r="D180" s="95"/>
      <c r="F180" s="20" t="str">
        <f>IF(D180='Data lists'!I$1,"Maintenance Level","")</f>
        <v/>
      </c>
      <c r="H180" s="95"/>
    </row>
    <row r="181" spans="2:8" x14ac:dyDescent="0.35">
      <c r="B181" s="21"/>
    </row>
    <row r="182" spans="2:8" x14ac:dyDescent="0.35">
      <c r="B182" s="22" t="str">
        <f>IF(D180='Data lists'!I1,"Testing","")</f>
        <v/>
      </c>
      <c r="D182" s="72"/>
      <c r="F182" s="20" t="str">
        <f>IF(D182="Y","Frequency","")</f>
        <v/>
      </c>
      <c r="H182" s="72"/>
    </row>
    <row r="183" spans="2:8" x14ac:dyDescent="0.35">
      <c r="B183" s="22"/>
    </row>
    <row r="184" spans="2:8" x14ac:dyDescent="0.35">
      <c r="B184" s="58" t="str">
        <f>IF(D178="Y","Who is responsible for repairs","")</f>
        <v/>
      </c>
      <c r="C184" s="58"/>
      <c r="D184" s="95"/>
    </row>
    <row r="185" spans="2:8" x14ac:dyDescent="0.35">
      <c r="C185" s="58"/>
      <c r="D185" s="58"/>
    </row>
    <row r="186" spans="2:8" x14ac:dyDescent="0.35">
      <c r="B186" s="21" t="str">
        <f>IF(D28="Y","Site has a man-safe system","")</f>
        <v/>
      </c>
      <c r="C186" s="58"/>
      <c r="D186" s="95"/>
      <c r="E186" s="58"/>
      <c r="F186" s="20" t="str">
        <f>IF(D186="Y","Location","")</f>
        <v/>
      </c>
      <c r="H186" s="72"/>
    </row>
    <row r="187" spans="2:8" x14ac:dyDescent="0.35">
      <c r="B187" s="21"/>
    </row>
    <row r="188" spans="2:8" x14ac:dyDescent="0.35">
      <c r="B188" s="58" t="str">
        <f>IF(D186="Y","Who is responsible for maintenance","")</f>
        <v/>
      </c>
      <c r="C188" s="58"/>
      <c r="D188" s="95"/>
      <c r="F188" s="20" t="str">
        <f>IF(D188='Data lists'!I$1,"Maintenance Level","")</f>
        <v/>
      </c>
      <c r="H188" s="95"/>
    </row>
    <row r="189" spans="2:8" x14ac:dyDescent="0.35">
      <c r="B189" s="21"/>
    </row>
    <row r="190" spans="2:8" x14ac:dyDescent="0.35">
      <c r="B190" s="58" t="str">
        <f>IF(D186="Y","Who is responsible for repairs","")</f>
        <v/>
      </c>
      <c r="C190" s="58"/>
      <c r="D190" s="95"/>
    </row>
    <row r="191" spans="2:8" x14ac:dyDescent="0.35">
      <c r="B191" s="22"/>
    </row>
    <row r="192" spans="2:8" x14ac:dyDescent="0.35">
      <c r="B192" s="21" t="str">
        <f>IF(D28="Y","Site has eye-bolts","")</f>
        <v/>
      </c>
      <c r="C192" s="58"/>
      <c r="D192" s="95"/>
      <c r="E192" s="58"/>
      <c r="F192" s="20" t="str">
        <f>IF(D192="Y","Number and location","")</f>
        <v/>
      </c>
      <c r="H192" s="72"/>
    </row>
    <row r="193" spans="2:8" x14ac:dyDescent="0.35">
      <c r="B193" s="21"/>
    </row>
    <row r="194" spans="2:8" x14ac:dyDescent="0.35">
      <c r="B194" s="58" t="str">
        <f>IF(D192="Y","Who is responsible for maintenance","")</f>
        <v/>
      </c>
      <c r="C194" s="58"/>
      <c r="D194" s="95"/>
      <c r="F194" s="20" t="str">
        <f>IF(D194='Data lists'!I$1,"Maintenance Level","")</f>
        <v/>
      </c>
      <c r="H194" s="95"/>
    </row>
    <row r="195" spans="2:8" x14ac:dyDescent="0.35">
      <c r="B195" s="21"/>
    </row>
    <row r="196" spans="2:8" x14ac:dyDescent="0.35">
      <c r="B196" s="58" t="str">
        <f>IF(D192="Y","Who is responsible for repairs","")</f>
        <v/>
      </c>
      <c r="C196" s="58"/>
      <c r="D196" s="95"/>
    </row>
    <row r="197" spans="2:8" x14ac:dyDescent="0.35">
      <c r="C197" s="58"/>
      <c r="D197" s="58"/>
    </row>
    <row r="198" spans="2:8" x14ac:dyDescent="0.35">
      <c r="B198" s="21" t="str">
        <f>IF(D28="Y","Site has permanently installed ladders","")</f>
        <v/>
      </c>
      <c r="C198" s="58"/>
      <c r="D198" s="95"/>
      <c r="E198" s="58"/>
      <c r="F198" s="20" t="str">
        <f>IF(D198="Y","Number and location","")</f>
        <v/>
      </c>
      <c r="H198" s="72"/>
    </row>
    <row r="199" spans="2:8" x14ac:dyDescent="0.35">
      <c r="B199" s="21"/>
    </row>
    <row r="200" spans="2:8" x14ac:dyDescent="0.35">
      <c r="B200" s="58" t="str">
        <f>IF(D198="Y","Who is responsible for maintenance","")</f>
        <v/>
      </c>
      <c r="C200" s="58"/>
      <c r="D200" s="95"/>
      <c r="F200" s="20" t="str">
        <f>IF(D200='Data lists'!I$1,"Maintenance Level","")</f>
        <v/>
      </c>
      <c r="H200" s="95"/>
    </row>
    <row r="201" spans="2:8" x14ac:dyDescent="0.35">
      <c r="B201" s="21"/>
    </row>
    <row r="202" spans="2:8" x14ac:dyDescent="0.35">
      <c r="B202" s="58" t="str">
        <f>IF(D198="Y","Who is responsible for repairs","")</f>
        <v/>
      </c>
      <c r="C202" s="58"/>
      <c r="D202" s="95"/>
    </row>
    <row r="203" spans="2:8" x14ac:dyDescent="0.35">
      <c r="C203" s="58"/>
      <c r="D203" s="58"/>
    </row>
    <row r="204" spans="2:8" x14ac:dyDescent="0.35">
      <c r="B204" s="21" t="str">
        <f>IF(D28="Y","Site has permanently Installed anchorage/fall arrest/roof safety systems","")</f>
        <v/>
      </c>
      <c r="C204" s="58"/>
      <c r="D204" s="95"/>
      <c r="E204" s="58"/>
      <c r="F204" s="20" t="str">
        <f>IF(D204="Y","Location","")</f>
        <v/>
      </c>
      <c r="H204" s="72"/>
    </row>
    <row r="205" spans="2:8" x14ac:dyDescent="0.35">
      <c r="B205" s="21"/>
    </row>
    <row r="206" spans="2:8" x14ac:dyDescent="0.35">
      <c r="B206" s="58" t="str">
        <f>IF(D204="Y","Who is responsible for maintenance","")</f>
        <v/>
      </c>
      <c r="C206" s="58"/>
      <c r="D206" s="95"/>
      <c r="F206" s="20" t="str">
        <f>IF(D206='Data lists'!I$1,"Maintenance Level","")</f>
        <v/>
      </c>
      <c r="H206" s="95"/>
    </row>
    <row r="207" spans="2:8" x14ac:dyDescent="0.35">
      <c r="B207" s="21"/>
    </row>
    <row r="208" spans="2:8" x14ac:dyDescent="0.35">
      <c r="B208" s="58" t="str">
        <f>IF(D204="Y","Who is responsible for repairs","")</f>
        <v/>
      </c>
      <c r="C208" s="58"/>
      <c r="D208" s="95"/>
    </row>
    <row r="209" spans="2:8" x14ac:dyDescent="0.35">
      <c r="B209" s="22"/>
    </row>
    <row r="210" spans="2:8" x14ac:dyDescent="0.35">
      <c r="B210" s="21" t="str">
        <f>IF(D28="Y","Site has permanently Installed access equipment systems","")</f>
        <v/>
      </c>
      <c r="C210" s="58"/>
      <c r="D210" s="95"/>
      <c r="E210" s="58"/>
      <c r="F210" s="20" t="str">
        <f>IF(D210="Y","Numbers, location and type","")</f>
        <v/>
      </c>
      <c r="H210" s="72"/>
    </row>
    <row r="211" spans="2:8" x14ac:dyDescent="0.35">
      <c r="B211" s="21"/>
    </row>
    <row r="212" spans="2:8" x14ac:dyDescent="0.35">
      <c r="B212" s="58" t="str">
        <f>IF(D210="Y","Who is responsible for maintenance","")</f>
        <v/>
      </c>
      <c r="C212" s="58"/>
      <c r="D212" s="95"/>
      <c r="F212" s="20" t="str">
        <f>IF(D212='Data lists'!I$1,"Maintenance Level","")</f>
        <v/>
      </c>
      <c r="H212" s="95"/>
    </row>
    <row r="213" spans="2:8" x14ac:dyDescent="0.35">
      <c r="B213" s="21"/>
    </row>
    <row r="214" spans="2:8" x14ac:dyDescent="0.35">
      <c r="B214" s="58" t="str">
        <f>IF(D210="Y","Who is responsible for repairs","")</f>
        <v/>
      </c>
      <c r="C214" s="58"/>
      <c r="D214" s="95"/>
    </row>
    <row r="215" spans="2:8" x14ac:dyDescent="0.35">
      <c r="B215" s="22"/>
    </row>
    <row r="216" spans="2:8" x14ac:dyDescent="0.35">
      <c r="B216" s="21" t="str">
        <f>IF(D28="Y","Site has plumbed hot or cold water drinks dispensers","")</f>
        <v/>
      </c>
      <c r="C216" s="58"/>
      <c r="D216" s="95"/>
      <c r="E216" s="58"/>
      <c r="F216" s="20" t="str">
        <f>IF(D216="Y","Number, type and location","")</f>
        <v/>
      </c>
      <c r="H216" s="72"/>
    </row>
    <row r="217" spans="2:8" x14ac:dyDescent="0.35">
      <c r="B217" s="21"/>
    </row>
    <row r="218" spans="2:8" x14ac:dyDescent="0.35">
      <c r="B218" s="58" t="str">
        <f>IF(D216="Y","Who is responsible for maintenance","")</f>
        <v/>
      </c>
      <c r="C218" s="58"/>
      <c r="D218" s="95"/>
      <c r="F218" s="20" t="str">
        <f>IF(D218='Data lists'!I$1,"Maintenance Level","")</f>
        <v/>
      </c>
      <c r="H218" s="95"/>
    </row>
    <row r="219" spans="2:8" x14ac:dyDescent="0.35">
      <c r="B219" s="21"/>
    </row>
    <row r="220" spans="2:8" x14ac:dyDescent="0.35">
      <c r="B220" s="58" t="str">
        <f>IF(D216="Y","Who is responsible for repairs","")</f>
        <v/>
      </c>
      <c r="C220" s="58"/>
      <c r="D220" s="95"/>
    </row>
    <row r="221" spans="2:8" x14ac:dyDescent="0.35">
      <c r="B221" s="22"/>
    </row>
    <row r="222" spans="2:8" x14ac:dyDescent="0.35">
      <c r="B222" s="21" t="str">
        <f>IF(D28="Y","Site has water heater","")</f>
        <v/>
      </c>
      <c r="C222" s="58"/>
      <c r="D222" s="95"/>
      <c r="E222" s="58"/>
      <c r="F222" s="20" t="str">
        <f>IF(D222="Y","Location","")</f>
        <v/>
      </c>
      <c r="H222" s="72"/>
    </row>
    <row r="223" spans="2:8" x14ac:dyDescent="0.35">
      <c r="B223" s="21"/>
    </row>
    <row r="224" spans="2:8" x14ac:dyDescent="0.35">
      <c r="B224" s="58" t="str">
        <f>IF(D222="Y","Who is responsible for maintenance","")</f>
        <v/>
      </c>
      <c r="C224" s="58"/>
      <c r="D224" s="95"/>
      <c r="F224" s="20" t="str">
        <f>IF(D224='Data lists'!I$1,"Maintenance Level","")</f>
        <v/>
      </c>
      <c r="H224" s="95"/>
    </row>
    <row r="225" spans="2:8" x14ac:dyDescent="0.35">
      <c r="B225" s="21"/>
    </row>
    <row r="226" spans="2:8" x14ac:dyDescent="0.35">
      <c r="B226" s="58" t="str">
        <f>IF(D222="Y","Who is responsible for repairs","")</f>
        <v/>
      </c>
      <c r="C226" s="58"/>
      <c r="D226" s="95"/>
    </row>
    <row r="227" spans="2:8" x14ac:dyDescent="0.35">
      <c r="B227" s="59"/>
    </row>
    <row r="228" spans="2:8" x14ac:dyDescent="0.35">
      <c r="B228" s="21" t="str">
        <f>IF(D28="Y","Site has over-counter water boilers","")</f>
        <v/>
      </c>
      <c r="C228" s="58"/>
      <c r="D228" s="95"/>
      <c r="E228" s="58"/>
      <c r="F228" s="20" t="str">
        <f>IF(D228="Y","Location","")</f>
        <v/>
      </c>
      <c r="H228" s="72"/>
    </row>
    <row r="229" spans="2:8" x14ac:dyDescent="0.35">
      <c r="B229" s="21"/>
    </row>
    <row r="230" spans="2:8" x14ac:dyDescent="0.35">
      <c r="B230" s="58" t="str">
        <f>IF(D228="Y","Who is responsible for maintenance","")</f>
        <v/>
      </c>
      <c r="C230" s="58"/>
      <c r="D230" s="95"/>
      <c r="F230" s="20" t="str">
        <f>IF(D230='Data lists'!I$1,"Maintenance Level","")</f>
        <v/>
      </c>
      <c r="H230" s="95"/>
    </row>
    <row r="231" spans="2:8" x14ac:dyDescent="0.35">
      <c r="B231" s="21"/>
    </row>
    <row r="232" spans="2:8" x14ac:dyDescent="0.35">
      <c r="B232" s="58" t="str">
        <f>IF(D228="Y","Who is responsible for repairs","")</f>
        <v/>
      </c>
      <c r="C232" s="58"/>
      <c r="D232" s="95"/>
    </row>
    <row r="233" spans="2:8" x14ac:dyDescent="0.35">
      <c r="B233" s="59"/>
    </row>
    <row r="234" spans="2:8" x14ac:dyDescent="0.35">
      <c r="B234" s="21" t="str">
        <f>IF(D28="Y","Site has panic alarms","")</f>
        <v/>
      </c>
      <c r="C234" s="58"/>
      <c r="D234" s="95"/>
      <c r="E234" s="58"/>
      <c r="F234" s="20" t="str">
        <f>IF(D234="Y","Location","")</f>
        <v/>
      </c>
      <c r="H234" s="72"/>
    </row>
    <row r="235" spans="2:8" x14ac:dyDescent="0.35">
      <c r="B235" s="21"/>
    </row>
    <row r="236" spans="2:8" x14ac:dyDescent="0.35">
      <c r="B236" s="58" t="str">
        <f>IF(D234="Y","Who is responsible for maintenance","")</f>
        <v/>
      </c>
      <c r="C236" s="58"/>
      <c r="D236" s="95"/>
      <c r="F236" s="20" t="str">
        <f>IF(D236='Data lists'!I$1,"Maintenance Level","")</f>
        <v/>
      </c>
      <c r="H236" s="95"/>
    </row>
    <row r="237" spans="2:8" x14ac:dyDescent="0.35">
      <c r="B237" s="21"/>
    </row>
    <row r="238" spans="2:8" x14ac:dyDescent="0.35">
      <c r="B238" s="22" t="str">
        <f>IF(D236='Data lists'!I1,"Testing","")</f>
        <v/>
      </c>
      <c r="D238" s="72"/>
      <c r="F238" s="20" t="str">
        <f>IF(D236='Data lists'!I1,"Is monitoring / call service required","")</f>
        <v/>
      </c>
      <c r="H238" s="72"/>
    </row>
    <row r="239" spans="2:8" x14ac:dyDescent="0.35">
      <c r="B239" s="22"/>
    </row>
    <row r="240" spans="2:8" x14ac:dyDescent="0.35">
      <c r="B240" s="58" t="str">
        <f>IF(D234="Y","Who is responsible for repairs","")</f>
        <v/>
      </c>
      <c r="C240" s="58"/>
      <c r="D240" s="95"/>
    </row>
    <row r="241" spans="2:8" x14ac:dyDescent="0.35">
      <c r="B241" s="59"/>
    </row>
    <row r="242" spans="2:8" x14ac:dyDescent="0.35">
      <c r="B242" s="21" t="str">
        <f>IF(D28="Y","Site has assistance alarms","")</f>
        <v/>
      </c>
      <c r="C242" s="58"/>
      <c r="D242" s="95"/>
      <c r="E242" s="58"/>
      <c r="F242" s="20" t="str">
        <f>IF(D242="Y","Location","")</f>
        <v/>
      </c>
      <c r="H242" s="72"/>
    </row>
    <row r="243" spans="2:8" x14ac:dyDescent="0.35">
      <c r="B243" s="21"/>
    </row>
    <row r="244" spans="2:8" x14ac:dyDescent="0.35">
      <c r="B244" s="58" t="str">
        <f>IF(D242="Y","Who is responsible for maintenance","")</f>
        <v/>
      </c>
      <c r="C244" s="58"/>
      <c r="D244" s="95"/>
      <c r="F244" s="20" t="str">
        <f>IF(D244='Data lists'!I$1,"Maintenance Level","")</f>
        <v/>
      </c>
      <c r="H244" s="95"/>
    </row>
    <row r="245" spans="2:8" x14ac:dyDescent="0.35">
      <c r="B245" s="21"/>
    </row>
    <row r="246" spans="2:8" x14ac:dyDescent="0.35">
      <c r="B246" s="22" t="str">
        <f>IF(D244='Data lists'!I1,"Testing","")</f>
        <v/>
      </c>
      <c r="D246" s="72"/>
      <c r="F246" s="20" t="str">
        <f>IF(D244='Data lists'!I1,"Is monitoring / call service required","")</f>
        <v/>
      </c>
      <c r="H246" s="72"/>
    </row>
    <row r="247" spans="2:8" x14ac:dyDescent="0.35">
      <c r="B247" s="22"/>
    </row>
    <row r="248" spans="2:8" x14ac:dyDescent="0.35">
      <c r="B248" s="58" t="str">
        <f>IF(D242="Y","Who is responsible for repairs","")</f>
        <v/>
      </c>
      <c r="C248" s="58"/>
      <c r="D248" s="95"/>
    </row>
    <row r="250" spans="2:8" x14ac:dyDescent="0.35">
      <c r="B250" s="175" t="str">
        <f>IF(D30="Y",B30,"")</f>
        <v/>
      </c>
      <c r="C250" s="175"/>
      <c r="D250" s="175"/>
    </row>
    <row r="251" spans="2:8" x14ac:dyDescent="0.35">
      <c r="B251" s="55"/>
      <c r="C251" s="55"/>
      <c r="D251" s="55"/>
    </row>
    <row r="252" spans="2:8" x14ac:dyDescent="0.35">
      <c r="B252" s="21" t="str">
        <f>IF(D30="Y","Site has closed circuit television (CCTV)","")</f>
        <v/>
      </c>
      <c r="C252" s="58"/>
      <c r="D252" s="95"/>
      <c r="E252" s="58"/>
      <c r="F252" s="20" t="str">
        <f>IF(D252="Y","Location","")</f>
        <v/>
      </c>
      <c r="H252" s="72"/>
    </row>
    <row r="253" spans="2:8" x14ac:dyDescent="0.35">
      <c r="B253" s="21"/>
    </row>
    <row r="254" spans="2:8" x14ac:dyDescent="0.35">
      <c r="B254" s="21" t="str">
        <f>IF(D252="Y","Type","")</f>
        <v/>
      </c>
      <c r="D254" s="72"/>
    </row>
    <row r="255" spans="2:8" x14ac:dyDescent="0.35">
      <c r="B255" s="21"/>
    </row>
    <row r="256" spans="2:8" x14ac:dyDescent="0.35">
      <c r="B256" s="58" t="str">
        <f>IF(D252="Y","Who is responsible for maintenance","")</f>
        <v/>
      </c>
      <c r="C256" s="58"/>
      <c r="D256" s="95"/>
      <c r="F256" s="20" t="str">
        <f>IF(D256='Data lists'!I$1,"Maintenance Level","")</f>
        <v/>
      </c>
      <c r="H256" s="95"/>
    </row>
    <row r="257" spans="2:8" x14ac:dyDescent="0.35">
      <c r="B257" s="21"/>
    </row>
    <row r="258" spans="2:8" x14ac:dyDescent="0.35">
      <c r="B258" s="20" t="str">
        <f>IF(D256='Data lists'!I1,"Is monitoring required","")</f>
        <v/>
      </c>
      <c r="D258" s="72"/>
    </row>
    <row r="259" spans="2:8" x14ac:dyDescent="0.35">
      <c r="B259" s="22"/>
    </row>
    <row r="260" spans="2:8" x14ac:dyDescent="0.35">
      <c r="B260" s="22" t="str">
        <f>IF(D256='Data lists'!I1,"Storage method","")</f>
        <v/>
      </c>
      <c r="D260" s="72"/>
    </row>
    <row r="261" spans="2:8" x14ac:dyDescent="0.35">
      <c r="B261" s="22"/>
    </row>
    <row r="262" spans="2:8" x14ac:dyDescent="0.35">
      <c r="B262" s="58" t="str">
        <f>IF(D252="Y","Who is responsible for repairs","")</f>
        <v/>
      </c>
      <c r="C262" s="58"/>
      <c r="D262" s="95"/>
    </row>
    <row r="263" spans="2:8" x14ac:dyDescent="0.35">
      <c r="B263" s="55"/>
      <c r="C263" s="55"/>
      <c r="D263" s="55"/>
    </row>
    <row r="264" spans="2:8" x14ac:dyDescent="0.35">
      <c r="B264" s="21" t="str">
        <f>IF(D30="Y","Site has an Intruder alarm","")</f>
        <v/>
      </c>
      <c r="C264" s="58"/>
      <c r="D264" s="95"/>
      <c r="E264" s="58"/>
      <c r="F264" s="20" t="str">
        <f>IF(D264="Y","Location","")</f>
        <v/>
      </c>
      <c r="H264" s="72"/>
    </row>
    <row r="265" spans="2:8" x14ac:dyDescent="0.35">
      <c r="B265" s="21"/>
    </row>
    <row r="266" spans="2:8" x14ac:dyDescent="0.35">
      <c r="B266" s="21" t="str">
        <f>IF(D264="Y","Type","")</f>
        <v/>
      </c>
      <c r="D266" s="72"/>
    </row>
    <row r="267" spans="2:8" x14ac:dyDescent="0.35">
      <c r="B267" s="21"/>
    </row>
    <row r="268" spans="2:8" x14ac:dyDescent="0.35">
      <c r="B268" s="58" t="str">
        <f>IF(D264="Y","Who is responsible for maintenance","")</f>
        <v/>
      </c>
      <c r="C268" s="58"/>
      <c r="D268" s="95"/>
      <c r="F268" s="20" t="str">
        <f>IF(D268='Data lists'!I$1,"Maintenance Level","")</f>
        <v/>
      </c>
      <c r="H268" s="95"/>
    </row>
    <row r="269" spans="2:8" x14ac:dyDescent="0.35">
      <c r="B269" s="21"/>
    </row>
    <row r="270" spans="2:8" x14ac:dyDescent="0.35">
      <c r="B270" s="20" t="str">
        <f>IF(D268='Data lists'!I1,"Is monitoring required","")</f>
        <v/>
      </c>
      <c r="D270" s="72"/>
    </row>
    <row r="271" spans="2:8" x14ac:dyDescent="0.35">
      <c r="B271" s="20"/>
    </row>
    <row r="272" spans="2:8" x14ac:dyDescent="0.35">
      <c r="B272" s="58" t="str">
        <f>IF(D268='Data lists'!I1,"Linked to other systems","")</f>
        <v/>
      </c>
      <c r="D272" s="95"/>
      <c r="F272" s="20" t="str">
        <f>IF(D272="Y","Details","")</f>
        <v/>
      </c>
      <c r="H272" s="72"/>
    </row>
    <row r="273" spans="2:8" x14ac:dyDescent="0.35">
      <c r="B273" s="22"/>
    </row>
    <row r="274" spans="2:8" x14ac:dyDescent="0.35">
      <c r="B274" s="58" t="str">
        <f>IF(D264="Y","Who is responsible for repairs","")</f>
        <v/>
      </c>
      <c r="C274" s="58"/>
      <c r="D274" s="95"/>
    </row>
    <row r="275" spans="2:8" x14ac:dyDescent="0.35">
      <c r="C275" s="58"/>
      <c r="D275" s="58"/>
    </row>
    <row r="276" spans="2:8" x14ac:dyDescent="0.35">
      <c r="B276" s="175" t="str">
        <f>IF(D32="Y",B32,"")</f>
        <v/>
      </c>
      <c r="C276" s="175"/>
      <c r="D276" s="175"/>
    </row>
    <row r="277" spans="2:8" x14ac:dyDescent="0.35">
      <c r="B277" s="55"/>
      <c r="C277" s="55"/>
      <c r="D277" s="55"/>
    </row>
    <row r="278" spans="2:8" x14ac:dyDescent="0.35">
      <c r="B278" s="21" t="str">
        <f>IF(D32="Y","Site has audio visual equipment","")</f>
        <v/>
      </c>
      <c r="C278" s="58"/>
      <c r="D278" s="95"/>
      <c r="E278" s="58"/>
      <c r="F278" s="20" t="str">
        <f>IF(D278="Y","Location","")</f>
        <v/>
      </c>
      <c r="H278" s="72"/>
    </row>
    <row r="279" spans="2:8" x14ac:dyDescent="0.35">
      <c r="B279" s="21"/>
    </row>
    <row r="280" spans="2:8" x14ac:dyDescent="0.35">
      <c r="B280" s="21" t="str">
        <f>IF(D278="Y","Type","")</f>
        <v/>
      </c>
      <c r="D280" s="72"/>
    </row>
    <row r="281" spans="2:8" x14ac:dyDescent="0.35">
      <c r="B281" s="21"/>
    </row>
    <row r="282" spans="2:8" x14ac:dyDescent="0.35">
      <c r="B282" s="58" t="str">
        <f>IF(D278="Y","Who is responsible for maintenance","")</f>
        <v/>
      </c>
      <c r="C282" s="58"/>
      <c r="D282" s="95"/>
      <c r="F282" s="20" t="str">
        <f>IF(D282='Data lists'!I$1,"Maintenance Level","")</f>
        <v/>
      </c>
      <c r="H282" s="95"/>
    </row>
    <row r="283" spans="2:8" x14ac:dyDescent="0.35">
      <c r="B283" s="21"/>
    </row>
    <row r="284" spans="2:8" x14ac:dyDescent="0.35">
      <c r="B284" s="58" t="str">
        <f>IF(D278="Y","Who is responsible for repairs","")</f>
        <v/>
      </c>
      <c r="C284" s="58"/>
      <c r="D284" s="95"/>
    </row>
    <row r="285" spans="2:8" x14ac:dyDescent="0.35">
      <c r="C285" s="58"/>
      <c r="D285" s="58"/>
    </row>
    <row r="286" spans="2:8" x14ac:dyDescent="0.35">
      <c r="B286" s="21" t="str">
        <f>IF(D32="Y","Site has office machinery","")</f>
        <v/>
      </c>
      <c r="C286" s="58"/>
      <c r="D286" s="95"/>
      <c r="E286" s="58"/>
      <c r="F286" s="20" t="str">
        <f>IF(D286="Y","Location","")</f>
        <v/>
      </c>
      <c r="H286" s="72"/>
    </row>
    <row r="287" spans="2:8" x14ac:dyDescent="0.35">
      <c r="B287" s="21"/>
    </row>
    <row r="288" spans="2:8" x14ac:dyDescent="0.35">
      <c r="B288" s="21" t="str">
        <f>IF(D286="Y","Type","")</f>
        <v/>
      </c>
      <c r="D288" s="72"/>
    </row>
    <row r="289" spans="2:8" x14ac:dyDescent="0.35">
      <c r="B289" s="21"/>
    </row>
    <row r="290" spans="2:8" x14ac:dyDescent="0.35">
      <c r="B290" s="58" t="str">
        <f>IF(D286="Y","Who is responsible for maintenance","")</f>
        <v/>
      </c>
      <c r="C290" s="58"/>
      <c r="D290" s="95"/>
      <c r="F290" s="20" t="str">
        <f>IF(D290='Data lists'!I$1,"Maintenance Level","")</f>
        <v/>
      </c>
      <c r="H290" s="95"/>
    </row>
    <row r="291" spans="2:8" x14ac:dyDescent="0.35">
      <c r="B291" s="21"/>
    </row>
    <row r="292" spans="2:8" x14ac:dyDescent="0.35">
      <c r="B292" s="58" t="str">
        <f>IF(D286="Y","Who is responsible for repairs","")</f>
        <v/>
      </c>
      <c r="C292" s="58"/>
      <c r="D292" s="95"/>
    </row>
    <row r="293" spans="2:8" x14ac:dyDescent="0.35">
      <c r="B293" s="55"/>
      <c r="C293" s="55"/>
      <c r="D293" s="55"/>
    </row>
    <row r="294" spans="2:8" x14ac:dyDescent="0.35">
      <c r="B294" s="21" t="str">
        <f>IF(D32="Y","Site has a voice anouncement system","")</f>
        <v/>
      </c>
      <c r="C294" s="58"/>
      <c r="D294" s="95"/>
      <c r="E294" s="58"/>
      <c r="F294" s="20" t="str">
        <f>IF(D294="Y","Location","")</f>
        <v/>
      </c>
      <c r="H294" s="72"/>
    </row>
    <row r="295" spans="2:8" x14ac:dyDescent="0.35">
      <c r="B295" s="21"/>
    </row>
    <row r="296" spans="2:8" x14ac:dyDescent="0.35">
      <c r="B296" s="58" t="str">
        <f>IF(D294="Y","Who is responsible for maintenance","")</f>
        <v/>
      </c>
      <c r="C296" s="58"/>
      <c r="D296" s="95"/>
      <c r="F296" s="20" t="str">
        <f>IF(D296='Data lists'!I$1,"Maintenance Level","")</f>
        <v/>
      </c>
      <c r="H296" s="95"/>
    </row>
    <row r="297" spans="2:8" x14ac:dyDescent="0.35">
      <c r="B297" s="21"/>
    </row>
    <row r="298" spans="2:8" x14ac:dyDescent="0.35">
      <c r="B298" s="58" t="str">
        <f>IF(D294="Y","Who is responsible for repairs","")</f>
        <v/>
      </c>
      <c r="C298" s="58"/>
      <c r="D298" s="95"/>
    </row>
    <row r="299" spans="2:8" x14ac:dyDescent="0.35">
      <c r="B299" s="55"/>
      <c r="C299" s="55"/>
      <c r="D299" s="55"/>
    </row>
    <row r="300" spans="2:8" x14ac:dyDescent="0.35">
      <c r="B300" s="21" t="str">
        <f>IF(D32="Y","Site has roller racking","")</f>
        <v/>
      </c>
      <c r="C300" s="58"/>
      <c r="D300" s="95"/>
      <c r="E300" s="58"/>
      <c r="F300" s="20" t="str">
        <f>IF(D300="Y","Location","")</f>
        <v/>
      </c>
      <c r="H300" s="72"/>
    </row>
    <row r="301" spans="2:8" x14ac:dyDescent="0.35">
      <c r="B301" s="21"/>
    </row>
    <row r="302" spans="2:8" x14ac:dyDescent="0.35">
      <c r="B302" s="58" t="str">
        <f>IF(D300="Y","Who is responsible for maintenance","")</f>
        <v/>
      </c>
      <c r="C302" s="58"/>
      <c r="D302" s="95"/>
      <c r="F302" s="20" t="str">
        <f>IF(D302='Data lists'!I$1,"Maintenance Level","")</f>
        <v/>
      </c>
      <c r="H302" s="95"/>
    </row>
    <row r="303" spans="2:8" x14ac:dyDescent="0.35">
      <c r="B303" s="21"/>
    </row>
    <row r="304" spans="2:8" x14ac:dyDescent="0.35">
      <c r="B304" s="21" t="str">
        <f>IF(D302='Data lists'!I1,"Electric or manual","")</f>
        <v/>
      </c>
      <c r="D304" s="72"/>
    </row>
    <row r="305" spans="2:8" x14ac:dyDescent="0.35">
      <c r="B305" s="21"/>
    </row>
    <row r="306" spans="2:8" x14ac:dyDescent="0.35">
      <c r="B306" s="58" t="str">
        <f>IF(D300="Y","Who is responsible for repairs","")</f>
        <v/>
      </c>
      <c r="C306" s="58"/>
      <c r="D306" s="95"/>
    </row>
    <row r="307" spans="2:8" x14ac:dyDescent="0.35">
      <c r="B307" s="55"/>
      <c r="C307" s="55"/>
      <c r="D307" s="55"/>
    </row>
    <row r="308" spans="2:8" x14ac:dyDescent="0.35">
      <c r="B308" s="21" t="str">
        <f>IF(D32="Y","Site has catering equipment","")</f>
        <v/>
      </c>
      <c r="C308" s="58"/>
      <c r="D308" s="95"/>
      <c r="E308" s="58"/>
      <c r="F308" s="20" t="str">
        <f>IF(D308="Y","Location","")</f>
        <v/>
      </c>
      <c r="H308" s="72"/>
    </row>
    <row r="309" spans="2:8" x14ac:dyDescent="0.35">
      <c r="B309" s="21"/>
    </row>
    <row r="310" spans="2:8" x14ac:dyDescent="0.35">
      <c r="B310" s="58" t="str">
        <f>IF(D308="Y","Who is responsible for maintenance","")</f>
        <v/>
      </c>
      <c r="C310" s="58"/>
      <c r="D310" s="95"/>
      <c r="F310" s="20" t="str">
        <f>IF(D310='Data lists'!I$1,"Maintenance Level","")</f>
        <v/>
      </c>
      <c r="H310" s="95"/>
    </row>
    <row r="311" spans="2:8" x14ac:dyDescent="0.35">
      <c r="C311" s="58"/>
      <c r="D311" s="58"/>
      <c r="H311" s="58"/>
    </row>
    <row r="312" spans="2:8" x14ac:dyDescent="0.35">
      <c r="B312" s="58" t="str">
        <f>IF(D310='Data lists'!I1,"Type","")</f>
        <v/>
      </c>
      <c r="C312" s="58"/>
      <c r="D312" s="95"/>
      <c r="H312" s="58"/>
    </row>
    <row r="313" spans="2:8" x14ac:dyDescent="0.35">
      <c r="B313" s="21"/>
    </row>
    <row r="314" spans="2:8" x14ac:dyDescent="0.35">
      <c r="B314" s="58" t="str">
        <f>IF(D308="Y","Who is responsible for repairs","")</f>
        <v/>
      </c>
      <c r="C314" s="58"/>
      <c r="D314" s="95"/>
    </row>
    <row r="315" spans="2:8" x14ac:dyDescent="0.35">
      <c r="B315" s="55"/>
      <c r="C315" s="55"/>
      <c r="D315" s="55"/>
    </row>
    <row r="316" spans="2:8" x14ac:dyDescent="0.35">
      <c r="B316" s="21" t="str">
        <f>IF(D32="Y","Site has television cabling","")</f>
        <v/>
      </c>
      <c r="C316" s="58"/>
      <c r="D316" s="95"/>
      <c r="E316" s="58"/>
      <c r="F316" s="20" t="str">
        <f>IF(D316="Y","Location","")</f>
        <v/>
      </c>
      <c r="H316" s="72"/>
    </row>
    <row r="317" spans="2:8" x14ac:dyDescent="0.35">
      <c r="B317" s="21"/>
    </row>
    <row r="318" spans="2:8" x14ac:dyDescent="0.35">
      <c r="B318" s="58" t="str">
        <f>IF(D316="Y","Who is responsible for maintenance","")</f>
        <v/>
      </c>
      <c r="C318" s="58"/>
      <c r="D318" s="95"/>
      <c r="F318" s="20" t="str">
        <f>IF(D318='Data lists'!I$1,"Maintenance Level","")</f>
        <v/>
      </c>
      <c r="H318" s="95"/>
    </row>
    <row r="319" spans="2:8" x14ac:dyDescent="0.35">
      <c r="C319" s="58"/>
      <c r="D319" s="58"/>
      <c r="H319" s="58"/>
    </row>
    <row r="320" spans="2:8" x14ac:dyDescent="0.35">
      <c r="B320" s="58" t="str">
        <f>IF(D318='Data lists'!I1,"Type","")</f>
        <v/>
      </c>
      <c r="C320" s="58"/>
      <c r="D320" s="58"/>
      <c r="H320" s="58"/>
    </row>
    <row r="321" spans="2:8" x14ac:dyDescent="0.35">
      <c r="B321" s="21"/>
    </row>
    <row r="322" spans="2:8" x14ac:dyDescent="0.35">
      <c r="B322" s="58" t="str">
        <f>IF(D316="Y","Who is responsible for repairs","")</f>
        <v/>
      </c>
      <c r="C322" s="58"/>
      <c r="D322" s="95"/>
    </row>
    <row r="323" spans="2:8" x14ac:dyDescent="0.35">
      <c r="B323" s="59"/>
    </row>
    <row r="324" spans="2:8" x14ac:dyDescent="0.35">
      <c r="B324" s="176" t="str">
        <f>IF(D18='Data lists'!I1,"External Fabric Maintenance","")</f>
        <v/>
      </c>
      <c r="C324" s="176"/>
      <c r="D324" s="176"/>
    </row>
    <row r="326" spans="2:8" x14ac:dyDescent="0.35">
      <c r="B326" s="58" t="str">
        <f>IF(D18='Data lists'!I1,"Gutter clearance required","")</f>
        <v/>
      </c>
      <c r="D326" s="72"/>
      <c r="F326" s="20" t="str">
        <f>IF(D326="Y","Frequency","")</f>
        <v/>
      </c>
      <c r="H326" s="72"/>
    </row>
  </sheetData>
  <mergeCells count="12">
    <mergeCell ref="B324:D324"/>
    <mergeCell ref="B250:D250"/>
    <mergeCell ref="B276:D276"/>
    <mergeCell ref="F3:I9"/>
    <mergeCell ref="F2:I2"/>
    <mergeCell ref="B102:D102"/>
    <mergeCell ref="B118:D118"/>
    <mergeCell ref="B2:D2"/>
    <mergeCell ref="B10:D10"/>
    <mergeCell ref="B38:D38"/>
    <mergeCell ref="B96:D96"/>
    <mergeCell ref="B168:D168"/>
  </mergeCells>
  <conditionalFormatting sqref="F100 H100 B172 D172 D106:D117 D176 D180 D184:D185 D190">
    <cfRule type="expression" dxfId="540" priority="728">
      <formula>$D$363="Y"</formula>
    </cfRule>
  </conditionalFormatting>
  <conditionalFormatting sqref="F100 H100 B172 D172 D106:D117 D176 D180 D184:D185 D190">
    <cfRule type="expression" dxfId="539" priority="727">
      <formula>$D$393="Y"</formula>
    </cfRule>
  </conditionalFormatting>
  <conditionalFormatting sqref="F100 H100 B172 D172 D106:D117 D176 D180 D184:D185 D190">
    <cfRule type="expression" dxfId="538" priority="725">
      <formula>$D$409="Y"</formula>
    </cfRule>
    <cfRule type="expression" dxfId="537" priority="726">
      <formula>$D$363="Y"</formula>
    </cfRule>
  </conditionalFormatting>
  <conditionalFormatting sqref="B90:B93 D167 F167 H167">
    <cfRule type="expression" dxfId="536" priority="718">
      <formula>$D$431="Y"</formula>
    </cfRule>
  </conditionalFormatting>
  <conditionalFormatting sqref="D104 F127 F159 F123:F125 H127 H159 H123:H125 H167 F167 F119 F100 H119 H100 F107 F109:F117 B104">
    <cfRule type="expression" dxfId="535" priority="1101">
      <formula>#REF!="Y"</formula>
    </cfRule>
  </conditionalFormatting>
  <conditionalFormatting sqref="F24 F26 F28 F30 F18 F20 F32">
    <cfRule type="expression" dxfId="534" priority="710">
      <formula>$F18&gt;""</formula>
    </cfRule>
  </conditionalFormatting>
  <conditionalFormatting sqref="B38:D38">
    <cfRule type="expression" dxfId="533" priority="709">
      <formula>$D$24="Y"</formula>
    </cfRule>
  </conditionalFormatting>
  <conditionalFormatting sqref="B96:D96">
    <cfRule type="expression" dxfId="532" priority="708">
      <formula>$D$26="Y"</formula>
    </cfRule>
  </conditionalFormatting>
  <conditionalFormatting sqref="B250:D250">
    <cfRule type="expression" dxfId="531" priority="706">
      <formula>$D$24="Y"</formula>
    </cfRule>
  </conditionalFormatting>
  <conditionalFormatting sqref="B276:D276">
    <cfRule type="expression" dxfId="530" priority="705">
      <formula>$D$24="Y"</formula>
    </cfRule>
  </conditionalFormatting>
  <conditionalFormatting sqref="F36 H36">
    <cfRule type="expression" dxfId="529" priority="704">
      <formula>$D$36="Y"</formula>
    </cfRule>
  </conditionalFormatting>
  <conditionalFormatting sqref="B40 D40">
    <cfRule type="expression" dxfId="528" priority="545">
      <formula>$D$24="Y"</formula>
    </cfRule>
  </conditionalFormatting>
  <conditionalFormatting sqref="B42 D42 B48 D48 B54 D54 B66 D66 B90 D90">
    <cfRule type="expression" dxfId="527" priority="544">
      <formula>$D$24="Y"</formula>
    </cfRule>
  </conditionalFormatting>
  <conditionalFormatting sqref="F42 H42 B44 D44">
    <cfRule type="expression" dxfId="526" priority="543">
      <formula>$D$42="Y"</formula>
    </cfRule>
  </conditionalFormatting>
  <conditionalFormatting sqref="B46 D46">
    <cfRule type="expression" dxfId="525" priority="542">
      <formula>$D$42="Y"</formula>
    </cfRule>
  </conditionalFormatting>
  <conditionalFormatting sqref="F48 H48 B50 D50 B52 D52">
    <cfRule type="expression" dxfId="524" priority="540">
      <formula>$D$48="Y"</formula>
    </cfRule>
  </conditionalFormatting>
  <conditionalFormatting sqref="F54 H54 B56 D56 B58 D58">
    <cfRule type="expression" dxfId="523" priority="538">
      <formula>$D$54="Y"</formula>
    </cfRule>
  </conditionalFormatting>
  <conditionalFormatting sqref="F64 H64">
    <cfRule type="expression" dxfId="522" priority="533">
      <formula>$D$64="Y"</formula>
    </cfRule>
  </conditionalFormatting>
  <conditionalFormatting sqref="F66 H66 B68 D68 B70 D70">
    <cfRule type="expression" dxfId="521" priority="532">
      <formula>$D$66="Y"</formula>
    </cfRule>
  </conditionalFormatting>
  <conditionalFormatting sqref="B78 D78">
    <cfRule type="expression" dxfId="520" priority="530">
      <formula>$D$24="Y"</formula>
    </cfRule>
  </conditionalFormatting>
  <conditionalFormatting sqref="B84 D84">
    <cfRule type="expression" dxfId="519" priority="527">
      <formula>$D$24="Y"</formula>
    </cfRule>
  </conditionalFormatting>
  <conditionalFormatting sqref="F78 H78 B80 D80 B82 D82">
    <cfRule type="expression" dxfId="518" priority="524">
      <formula>$D$78="Y"</formula>
    </cfRule>
  </conditionalFormatting>
  <conditionalFormatting sqref="F84 H84 B86 D86 B88 D88">
    <cfRule type="expression" dxfId="517" priority="522">
      <formula>$D$84="Y"</formula>
    </cfRule>
  </conditionalFormatting>
  <conditionalFormatting sqref="F90 H90 B92 D92 B94 D94">
    <cfRule type="expression" dxfId="516" priority="519">
      <formula>$D$90="Y"</formula>
    </cfRule>
  </conditionalFormatting>
  <conditionalFormatting sqref="B106:B117">
    <cfRule type="expression" dxfId="515" priority="516">
      <formula>$D$363="Y"</formula>
    </cfRule>
  </conditionalFormatting>
  <conditionalFormatting sqref="B106:B117">
    <cfRule type="expression" dxfId="514" priority="515">
      <formula>$D$393="Y"</formula>
    </cfRule>
  </conditionalFormatting>
  <conditionalFormatting sqref="B106:B117">
    <cfRule type="expression" dxfId="513" priority="513">
      <formula>$D$409="Y"</formula>
    </cfRule>
    <cfRule type="expression" dxfId="512" priority="514">
      <formula>$D$363="Y"</formula>
    </cfRule>
  </conditionalFormatting>
  <conditionalFormatting sqref="B106:B117 D106:D117">
    <cfRule type="expression" dxfId="511" priority="517">
      <formula>#REF!="Y"</formula>
    </cfRule>
  </conditionalFormatting>
  <conditionalFormatting sqref="B98 D98">
    <cfRule type="expression" dxfId="510" priority="512">
      <formula>$D$26="Y"</formula>
    </cfRule>
  </conditionalFormatting>
  <conditionalFormatting sqref="B104 D104 B106 D106 B110 D110">
    <cfRule type="expression" dxfId="509" priority="511">
      <formula>$D$98="Y"</formula>
    </cfRule>
  </conditionalFormatting>
  <conditionalFormatting sqref="B114 D114">
    <cfRule type="expression" dxfId="508" priority="509">
      <formula>$D$112="Y"</formula>
    </cfRule>
  </conditionalFormatting>
  <conditionalFormatting sqref="F114 H114">
    <cfRule type="expression" dxfId="507" priority="508">
      <formula>$D$114="N"</formula>
    </cfRule>
  </conditionalFormatting>
  <conditionalFormatting sqref="B116 D116 F116 H116">
    <cfRule type="expression" dxfId="506" priority="507">
      <formula>$D$114="Y"</formula>
    </cfRule>
  </conditionalFormatting>
  <conditionalFormatting sqref="B100 D100">
    <cfRule type="expression" dxfId="505" priority="506">
      <formula>$D$26="Y"</formula>
    </cfRule>
  </conditionalFormatting>
  <conditionalFormatting sqref="F126">
    <cfRule type="expression" dxfId="504" priority="494">
      <formula>#REF!="Y"</formula>
    </cfRule>
  </conditionalFormatting>
  <conditionalFormatting sqref="F132">
    <cfRule type="expression" dxfId="503" priority="475">
      <formula>$D$411="Y"</formula>
    </cfRule>
  </conditionalFormatting>
  <conditionalFormatting sqref="F129 H129 F135 F131:F133 H135 H131:H133">
    <cfRule type="expression" dxfId="502" priority="477">
      <formula>#REF!="Y"</formula>
    </cfRule>
  </conditionalFormatting>
  <conditionalFormatting sqref="F134">
    <cfRule type="expression" dxfId="501" priority="463">
      <formula>#REF!="Y"</formula>
    </cfRule>
  </conditionalFormatting>
  <conditionalFormatting sqref="F128 H128">
    <cfRule type="expression" dxfId="500" priority="445">
      <formula>$D128="Y"</formula>
    </cfRule>
  </conditionalFormatting>
  <conditionalFormatting sqref="B130 D130 B134 D134 H132">
    <cfRule type="expression" dxfId="499" priority="444">
      <formula>$D$128="Y"</formula>
    </cfRule>
  </conditionalFormatting>
  <conditionalFormatting sqref="F137 H137">
    <cfRule type="expression" dxfId="498" priority="440">
      <formula>#REF!="Y"</formula>
    </cfRule>
  </conditionalFormatting>
  <conditionalFormatting sqref="F136">
    <cfRule type="expression" dxfId="497" priority="431">
      <formula>$D136="Y"</formula>
    </cfRule>
  </conditionalFormatting>
  <conditionalFormatting sqref="B138 D138 B142 D142">
    <cfRule type="expression" dxfId="496" priority="428">
      <formula>$D$136="Y"</formula>
    </cfRule>
  </conditionalFormatting>
  <conditionalFormatting sqref="F144 B146 D146 B150 D150">
    <cfRule type="expression" dxfId="495" priority="419">
      <formula>$D$144="Y"</formula>
    </cfRule>
  </conditionalFormatting>
  <conditionalFormatting sqref="F152 H152 B154 D154 B158 D158">
    <cfRule type="expression" dxfId="494" priority="412">
      <formula>$D$152="Y"</formula>
    </cfRule>
  </conditionalFormatting>
  <conditionalFormatting sqref="F160 B162 D162 B166 D166 H160">
    <cfRule type="expression" dxfId="493" priority="405">
      <formula>$D$160="Y"</formula>
    </cfRule>
  </conditionalFormatting>
  <conditionalFormatting sqref="B120 D120 D128 D136 D144 D152 D160 B128 B136 B144 B152 B160">
    <cfRule type="expression" dxfId="492" priority="1116">
      <formula>$D$100="Y"</formula>
    </cfRule>
  </conditionalFormatting>
  <conditionalFormatting sqref="B168:D168">
    <cfRule type="expression" dxfId="491" priority="403">
      <formula>$D$28="Y"</formula>
    </cfRule>
  </conditionalFormatting>
  <conditionalFormatting sqref="B102:D102">
    <cfRule type="expression" dxfId="490" priority="402">
      <formula>$D$98="Y"</formula>
    </cfRule>
  </conditionalFormatting>
  <conditionalFormatting sqref="B118:D118">
    <cfRule type="expression" dxfId="489" priority="401">
      <formula>$D$100="Y"</formula>
    </cfRule>
  </conditionalFormatting>
  <conditionalFormatting sqref="B122 D122 B126 D126 H120">
    <cfRule type="expression" dxfId="488" priority="400">
      <formula>$D$120="Y"</formula>
    </cfRule>
  </conditionalFormatting>
  <conditionalFormatting sqref="B176">
    <cfRule type="expression" dxfId="487" priority="399">
      <formula>$D$363="Y"</formula>
    </cfRule>
  </conditionalFormatting>
  <conditionalFormatting sqref="B176">
    <cfRule type="expression" dxfId="486" priority="398">
      <formula>$D$393="Y"</formula>
    </cfRule>
  </conditionalFormatting>
  <conditionalFormatting sqref="B176">
    <cfRule type="expression" dxfId="485" priority="396">
      <formula>$D$409="Y"</formula>
    </cfRule>
    <cfRule type="expression" dxfId="484" priority="397">
      <formula>$D$363="Y"</formula>
    </cfRule>
  </conditionalFormatting>
  <conditionalFormatting sqref="B180">
    <cfRule type="expression" dxfId="483" priority="395">
      <formula>$D$363="Y"</formula>
    </cfRule>
  </conditionalFormatting>
  <conditionalFormatting sqref="B180">
    <cfRule type="expression" dxfId="482" priority="394">
      <formula>$D$393="Y"</formula>
    </cfRule>
  </conditionalFormatting>
  <conditionalFormatting sqref="B180">
    <cfRule type="expression" dxfId="481" priority="392">
      <formula>$D$409="Y"</formula>
    </cfRule>
    <cfRule type="expression" dxfId="480" priority="393">
      <formula>$D$363="Y"</formula>
    </cfRule>
  </conditionalFormatting>
  <conditionalFormatting sqref="B184:B185">
    <cfRule type="expression" dxfId="479" priority="390">
      <formula>$D$363="Y"</formula>
    </cfRule>
  </conditionalFormatting>
  <conditionalFormatting sqref="B184:B185">
    <cfRule type="expression" dxfId="478" priority="389">
      <formula>$D$393="Y"</formula>
    </cfRule>
  </conditionalFormatting>
  <conditionalFormatting sqref="B184:B185">
    <cfRule type="expression" dxfId="477" priority="387">
      <formula>$D$409="Y"</formula>
    </cfRule>
    <cfRule type="expression" dxfId="476" priority="388">
      <formula>$D$363="Y"</formula>
    </cfRule>
  </conditionalFormatting>
  <conditionalFormatting sqref="D188">
    <cfRule type="expression" dxfId="475" priority="386">
      <formula>$D$363="Y"</formula>
    </cfRule>
  </conditionalFormatting>
  <conditionalFormatting sqref="D188">
    <cfRule type="expression" dxfId="474" priority="385">
      <formula>$D$393="Y"</formula>
    </cfRule>
  </conditionalFormatting>
  <conditionalFormatting sqref="D188">
    <cfRule type="expression" dxfId="473" priority="383">
      <formula>$D$409="Y"</formula>
    </cfRule>
    <cfRule type="expression" dxfId="472" priority="384">
      <formula>$D$363="Y"</formula>
    </cfRule>
  </conditionalFormatting>
  <conditionalFormatting sqref="B188">
    <cfRule type="expression" dxfId="471" priority="381">
      <formula>$D$363="Y"</formula>
    </cfRule>
  </conditionalFormatting>
  <conditionalFormatting sqref="B188">
    <cfRule type="expression" dxfId="470" priority="380">
      <formula>$D$393="Y"</formula>
    </cfRule>
  </conditionalFormatting>
  <conditionalFormatting sqref="B188">
    <cfRule type="expression" dxfId="469" priority="378">
      <formula>$D$409="Y"</formula>
    </cfRule>
    <cfRule type="expression" dxfId="468" priority="379">
      <formula>$D$363="Y"</formula>
    </cfRule>
  </conditionalFormatting>
  <conditionalFormatting sqref="B190">
    <cfRule type="expression" dxfId="467" priority="376">
      <formula>$D$363="Y"</formula>
    </cfRule>
  </conditionalFormatting>
  <conditionalFormatting sqref="B190">
    <cfRule type="expression" dxfId="466" priority="375">
      <formula>$D$393="Y"</formula>
    </cfRule>
  </conditionalFormatting>
  <conditionalFormatting sqref="B190">
    <cfRule type="expression" dxfId="465" priority="373">
      <formula>$D$409="Y"</formula>
    </cfRule>
    <cfRule type="expression" dxfId="464" priority="374">
      <formula>$D$363="Y"</formula>
    </cfRule>
  </conditionalFormatting>
  <conditionalFormatting sqref="D196:D197">
    <cfRule type="expression" dxfId="463" priority="372">
      <formula>$D$363="Y"</formula>
    </cfRule>
  </conditionalFormatting>
  <conditionalFormatting sqref="D196:D197">
    <cfRule type="expression" dxfId="462" priority="371">
      <formula>$D$393="Y"</formula>
    </cfRule>
  </conditionalFormatting>
  <conditionalFormatting sqref="D196:D197">
    <cfRule type="expression" dxfId="461" priority="369">
      <formula>$D$409="Y"</formula>
    </cfRule>
    <cfRule type="expression" dxfId="460" priority="370">
      <formula>$D$363="Y"</formula>
    </cfRule>
  </conditionalFormatting>
  <conditionalFormatting sqref="D194">
    <cfRule type="expression" dxfId="459" priority="368">
      <formula>$D$363="Y"</formula>
    </cfRule>
  </conditionalFormatting>
  <conditionalFormatting sqref="D194">
    <cfRule type="expression" dxfId="458" priority="367">
      <formula>$D$393="Y"</formula>
    </cfRule>
  </conditionalFormatting>
  <conditionalFormatting sqref="D194">
    <cfRule type="expression" dxfId="457" priority="365">
      <formula>$D$409="Y"</formula>
    </cfRule>
    <cfRule type="expression" dxfId="456" priority="366">
      <formula>$D$363="Y"</formula>
    </cfRule>
  </conditionalFormatting>
  <conditionalFormatting sqref="B194">
    <cfRule type="expression" dxfId="455" priority="363">
      <formula>$D$363="Y"</formula>
    </cfRule>
  </conditionalFormatting>
  <conditionalFormatting sqref="B194">
    <cfRule type="expression" dxfId="454" priority="362">
      <formula>$D$393="Y"</formula>
    </cfRule>
  </conditionalFormatting>
  <conditionalFormatting sqref="B194">
    <cfRule type="expression" dxfId="453" priority="360">
      <formula>$D$409="Y"</formula>
    </cfRule>
    <cfRule type="expression" dxfId="452" priority="361">
      <formula>$D$363="Y"</formula>
    </cfRule>
  </conditionalFormatting>
  <conditionalFormatting sqref="B196:B197">
    <cfRule type="expression" dxfId="451" priority="358">
      <formula>$D$363="Y"</formula>
    </cfRule>
  </conditionalFormatting>
  <conditionalFormatting sqref="B196:B197">
    <cfRule type="expression" dxfId="450" priority="357">
      <formula>$D$393="Y"</formula>
    </cfRule>
  </conditionalFormatting>
  <conditionalFormatting sqref="B196:B197">
    <cfRule type="expression" dxfId="449" priority="355">
      <formula>$D$409="Y"</formula>
    </cfRule>
    <cfRule type="expression" dxfId="448" priority="356">
      <formula>$D$363="Y"</formula>
    </cfRule>
  </conditionalFormatting>
  <conditionalFormatting sqref="D202:D203">
    <cfRule type="expression" dxfId="447" priority="354">
      <formula>$D$363="Y"</formula>
    </cfRule>
  </conditionalFormatting>
  <conditionalFormatting sqref="D202:D203">
    <cfRule type="expression" dxfId="446" priority="353">
      <formula>$D$393="Y"</formula>
    </cfRule>
  </conditionalFormatting>
  <conditionalFormatting sqref="D202:D203">
    <cfRule type="expression" dxfId="445" priority="351">
      <formula>$D$409="Y"</formula>
    </cfRule>
    <cfRule type="expression" dxfId="444" priority="352">
      <formula>$D$363="Y"</formula>
    </cfRule>
  </conditionalFormatting>
  <conditionalFormatting sqref="D200">
    <cfRule type="expression" dxfId="443" priority="350">
      <formula>$D$363="Y"</formula>
    </cfRule>
  </conditionalFormatting>
  <conditionalFormatting sqref="D200">
    <cfRule type="expression" dxfId="442" priority="349">
      <formula>$D$393="Y"</formula>
    </cfRule>
  </conditionalFormatting>
  <conditionalFormatting sqref="D200">
    <cfRule type="expression" dxfId="441" priority="347">
      <formula>$D$409="Y"</formula>
    </cfRule>
    <cfRule type="expression" dxfId="440" priority="348">
      <formula>$D$363="Y"</formula>
    </cfRule>
  </conditionalFormatting>
  <conditionalFormatting sqref="B200">
    <cfRule type="expression" dxfId="439" priority="345">
      <formula>$D$363="Y"</formula>
    </cfRule>
  </conditionalFormatting>
  <conditionalFormatting sqref="B200">
    <cfRule type="expression" dxfId="438" priority="344">
      <formula>$D$393="Y"</formula>
    </cfRule>
  </conditionalFormatting>
  <conditionalFormatting sqref="B200">
    <cfRule type="expression" dxfId="437" priority="342">
      <formula>$D$409="Y"</formula>
    </cfRule>
    <cfRule type="expression" dxfId="436" priority="343">
      <formula>$D$363="Y"</formula>
    </cfRule>
  </conditionalFormatting>
  <conditionalFormatting sqref="B202:B203">
    <cfRule type="expression" dxfId="435" priority="340">
      <formula>$D$363="Y"</formula>
    </cfRule>
  </conditionalFormatting>
  <conditionalFormatting sqref="B202:B203">
    <cfRule type="expression" dxfId="434" priority="339">
      <formula>$D$393="Y"</formula>
    </cfRule>
  </conditionalFormatting>
  <conditionalFormatting sqref="B202:B203">
    <cfRule type="expression" dxfId="433" priority="337">
      <formula>$D$409="Y"</formula>
    </cfRule>
    <cfRule type="expression" dxfId="432" priority="338">
      <formula>$D$363="Y"</formula>
    </cfRule>
  </conditionalFormatting>
  <conditionalFormatting sqref="D208">
    <cfRule type="expression" dxfId="431" priority="336">
      <formula>$D$363="Y"</formula>
    </cfRule>
  </conditionalFormatting>
  <conditionalFormatting sqref="D208">
    <cfRule type="expression" dxfId="430" priority="335">
      <formula>$D$393="Y"</formula>
    </cfRule>
  </conditionalFormatting>
  <conditionalFormatting sqref="D208">
    <cfRule type="expression" dxfId="429" priority="333">
      <formula>$D$409="Y"</formula>
    </cfRule>
    <cfRule type="expression" dxfId="428" priority="334">
      <formula>$D$363="Y"</formula>
    </cfRule>
  </conditionalFormatting>
  <conditionalFormatting sqref="D206">
    <cfRule type="expression" dxfId="427" priority="332">
      <formula>$D$363="Y"</formula>
    </cfRule>
  </conditionalFormatting>
  <conditionalFormatting sqref="D206">
    <cfRule type="expression" dxfId="426" priority="331">
      <formula>$D$393="Y"</formula>
    </cfRule>
  </conditionalFormatting>
  <conditionalFormatting sqref="D206">
    <cfRule type="expression" dxfId="425" priority="329">
      <formula>$D$409="Y"</formula>
    </cfRule>
    <cfRule type="expression" dxfId="424" priority="330">
      <formula>$D$363="Y"</formula>
    </cfRule>
  </conditionalFormatting>
  <conditionalFormatting sqref="B206">
    <cfRule type="expression" dxfId="423" priority="327">
      <formula>$D$363="Y"</formula>
    </cfRule>
  </conditionalFormatting>
  <conditionalFormatting sqref="B206">
    <cfRule type="expression" dxfId="422" priority="326">
      <formula>$D$393="Y"</formula>
    </cfRule>
  </conditionalFormatting>
  <conditionalFormatting sqref="B206">
    <cfRule type="expression" dxfId="421" priority="324">
      <formula>$D$409="Y"</formula>
    </cfRule>
    <cfRule type="expression" dxfId="420" priority="325">
      <formula>$D$363="Y"</formula>
    </cfRule>
  </conditionalFormatting>
  <conditionalFormatting sqref="B208">
    <cfRule type="expression" dxfId="419" priority="322">
      <formula>$D$363="Y"</formula>
    </cfRule>
  </conditionalFormatting>
  <conditionalFormatting sqref="B208">
    <cfRule type="expression" dxfId="418" priority="321">
      <formula>$D$393="Y"</formula>
    </cfRule>
  </conditionalFormatting>
  <conditionalFormatting sqref="B208">
    <cfRule type="expression" dxfId="417" priority="319">
      <formula>$D$409="Y"</formula>
    </cfRule>
    <cfRule type="expression" dxfId="416" priority="320">
      <formula>$D$363="Y"</formula>
    </cfRule>
  </conditionalFormatting>
  <conditionalFormatting sqref="D214">
    <cfRule type="expression" dxfId="415" priority="318">
      <formula>$D$363="Y"</formula>
    </cfRule>
  </conditionalFormatting>
  <conditionalFormatting sqref="D214">
    <cfRule type="expression" dxfId="414" priority="317">
      <formula>$D$393="Y"</formula>
    </cfRule>
  </conditionalFormatting>
  <conditionalFormatting sqref="D214">
    <cfRule type="expression" dxfId="413" priority="315">
      <formula>$D$409="Y"</formula>
    </cfRule>
    <cfRule type="expression" dxfId="412" priority="316">
      <formula>$D$363="Y"</formula>
    </cfRule>
  </conditionalFormatting>
  <conditionalFormatting sqref="D212">
    <cfRule type="expression" dxfId="411" priority="314">
      <formula>$D$363="Y"</formula>
    </cfRule>
  </conditionalFormatting>
  <conditionalFormatting sqref="D212">
    <cfRule type="expression" dxfId="410" priority="313">
      <formula>$D$393="Y"</formula>
    </cfRule>
  </conditionalFormatting>
  <conditionalFormatting sqref="D212">
    <cfRule type="expression" dxfId="409" priority="311">
      <formula>$D$409="Y"</formula>
    </cfRule>
    <cfRule type="expression" dxfId="408" priority="312">
      <formula>$D$363="Y"</formula>
    </cfRule>
  </conditionalFormatting>
  <conditionalFormatting sqref="B212">
    <cfRule type="expression" dxfId="407" priority="309">
      <formula>$D$363="Y"</formula>
    </cfRule>
  </conditionalFormatting>
  <conditionalFormatting sqref="B212">
    <cfRule type="expression" dxfId="406" priority="308">
      <formula>$D$393="Y"</formula>
    </cfRule>
  </conditionalFormatting>
  <conditionalFormatting sqref="B212">
    <cfRule type="expression" dxfId="405" priority="306">
      <formula>$D$409="Y"</formula>
    </cfRule>
    <cfRule type="expression" dxfId="404" priority="307">
      <formula>$D$363="Y"</formula>
    </cfRule>
  </conditionalFormatting>
  <conditionalFormatting sqref="B214">
    <cfRule type="expression" dxfId="403" priority="304">
      <formula>$D$363="Y"</formula>
    </cfRule>
  </conditionalFormatting>
  <conditionalFormatting sqref="B214">
    <cfRule type="expression" dxfId="402" priority="303">
      <formula>$D$393="Y"</formula>
    </cfRule>
  </conditionalFormatting>
  <conditionalFormatting sqref="B214">
    <cfRule type="expression" dxfId="401" priority="301">
      <formula>$D$409="Y"</formula>
    </cfRule>
    <cfRule type="expression" dxfId="400" priority="302">
      <formula>$D$363="Y"</formula>
    </cfRule>
  </conditionalFormatting>
  <conditionalFormatting sqref="D220">
    <cfRule type="expression" dxfId="399" priority="300">
      <formula>$D$363="Y"</formula>
    </cfRule>
  </conditionalFormatting>
  <conditionalFormatting sqref="D220">
    <cfRule type="expression" dxfId="398" priority="299">
      <formula>$D$393="Y"</formula>
    </cfRule>
  </conditionalFormatting>
  <conditionalFormatting sqref="D220">
    <cfRule type="expression" dxfId="397" priority="297">
      <formula>$D$409="Y"</formula>
    </cfRule>
    <cfRule type="expression" dxfId="396" priority="298">
      <formula>$D$363="Y"</formula>
    </cfRule>
  </conditionalFormatting>
  <conditionalFormatting sqref="D218">
    <cfRule type="expression" dxfId="395" priority="296">
      <formula>$D$363="Y"</formula>
    </cfRule>
  </conditionalFormatting>
  <conditionalFormatting sqref="D218">
    <cfRule type="expression" dxfId="394" priority="295">
      <formula>$D$393="Y"</formula>
    </cfRule>
  </conditionalFormatting>
  <conditionalFormatting sqref="D218">
    <cfRule type="expression" dxfId="393" priority="293">
      <formula>$D$409="Y"</formula>
    </cfRule>
    <cfRule type="expression" dxfId="392" priority="294">
      <formula>$D$363="Y"</formula>
    </cfRule>
  </conditionalFormatting>
  <conditionalFormatting sqref="B218">
    <cfRule type="expression" dxfId="391" priority="291">
      <formula>$D$363="Y"</formula>
    </cfRule>
  </conditionalFormatting>
  <conditionalFormatting sqref="B218">
    <cfRule type="expression" dxfId="390" priority="290">
      <formula>$D$393="Y"</formula>
    </cfRule>
  </conditionalFormatting>
  <conditionalFormatting sqref="B218">
    <cfRule type="expression" dxfId="389" priority="288">
      <formula>$D$409="Y"</formula>
    </cfRule>
    <cfRule type="expression" dxfId="388" priority="289">
      <formula>$D$363="Y"</formula>
    </cfRule>
  </conditionalFormatting>
  <conditionalFormatting sqref="B220">
    <cfRule type="expression" dxfId="387" priority="286">
      <formula>$D$363="Y"</formula>
    </cfRule>
  </conditionalFormatting>
  <conditionalFormatting sqref="B220">
    <cfRule type="expression" dxfId="386" priority="285">
      <formula>$D$393="Y"</formula>
    </cfRule>
  </conditionalFormatting>
  <conditionalFormatting sqref="B220">
    <cfRule type="expression" dxfId="385" priority="283">
      <formula>$D$409="Y"</formula>
    </cfRule>
    <cfRule type="expression" dxfId="384" priority="284">
      <formula>$D$363="Y"</formula>
    </cfRule>
  </conditionalFormatting>
  <conditionalFormatting sqref="D226">
    <cfRule type="expression" dxfId="383" priority="282">
      <formula>$D$363="Y"</formula>
    </cfRule>
  </conditionalFormatting>
  <conditionalFormatting sqref="D226">
    <cfRule type="expression" dxfId="382" priority="281">
      <formula>$D$393="Y"</formula>
    </cfRule>
  </conditionalFormatting>
  <conditionalFormatting sqref="D226">
    <cfRule type="expression" dxfId="381" priority="279">
      <formula>$D$409="Y"</formula>
    </cfRule>
    <cfRule type="expression" dxfId="380" priority="280">
      <formula>$D$363="Y"</formula>
    </cfRule>
  </conditionalFormatting>
  <conditionalFormatting sqref="D224">
    <cfRule type="expression" dxfId="379" priority="278">
      <formula>$D$363="Y"</formula>
    </cfRule>
  </conditionalFormatting>
  <conditionalFormatting sqref="D224">
    <cfRule type="expression" dxfId="378" priority="277">
      <formula>$D$393="Y"</formula>
    </cfRule>
  </conditionalFormatting>
  <conditionalFormatting sqref="D224">
    <cfRule type="expression" dxfId="377" priority="275">
      <formula>$D$409="Y"</formula>
    </cfRule>
    <cfRule type="expression" dxfId="376" priority="276">
      <formula>$D$363="Y"</formula>
    </cfRule>
  </conditionalFormatting>
  <conditionalFormatting sqref="B224">
    <cfRule type="expression" dxfId="375" priority="273">
      <formula>$D$363="Y"</formula>
    </cfRule>
  </conditionalFormatting>
  <conditionalFormatting sqref="B224">
    <cfRule type="expression" dxfId="374" priority="272">
      <formula>$D$393="Y"</formula>
    </cfRule>
  </conditionalFormatting>
  <conditionalFormatting sqref="B224">
    <cfRule type="expression" dxfId="373" priority="270">
      <formula>$D$409="Y"</formula>
    </cfRule>
    <cfRule type="expression" dxfId="372" priority="271">
      <formula>$D$363="Y"</formula>
    </cfRule>
  </conditionalFormatting>
  <conditionalFormatting sqref="B226">
    <cfRule type="expression" dxfId="371" priority="268">
      <formula>$D$363="Y"</formula>
    </cfRule>
  </conditionalFormatting>
  <conditionalFormatting sqref="B226">
    <cfRule type="expression" dxfId="370" priority="267">
      <formula>$D$393="Y"</formula>
    </cfRule>
  </conditionalFormatting>
  <conditionalFormatting sqref="B226">
    <cfRule type="expression" dxfId="369" priority="265">
      <formula>$D$409="Y"</formula>
    </cfRule>
    <cfRule type="expression" dxfId="368" priority="266">
      <formula>$D$363="Y"</formula>
    </cfRule>
  </conditionalFormatting>
  <conditionalFormatting sqref="D232">
    <cfRule type="expression" dxfId="367" priority="264">
      <formula>$D$363="Y"</formula>
    </cfRule>
  </conditionalFormatting>
  <conditionalFormatting sqref="D232">
    <cfRule type="expression" dxfId="366" priority="263">
      <formula>$D$393="Y"</formula>
    </cfRule>
  </conditionalFormatting>
  <conditionalFormatting sqref="D232">
    <cfRule type="expression" dxfId="365" priority="261">
      <formula>$D$409="Y"</formula>
    </cfRule>
    <cfRule type="expression" dxfId="364" priority="262">
      <formula>$D$363="Y"</formula>
    </cfRule>
  </conditionalFormatting>
  <conditionalFormatting sqref="D230">
    <cfRule type="expression" dxfId="363" priority="260">
      <formula>$D$363="Y"</formula>
    </cfRule>
  </conditionalFormatting>
  <conditionalFormatting sqref="D230">
    <cfRule type="expression" dxfId="362" priority="259">
      <formula>$D$393="Y"</formula>
    </cfRule>
  </conditionalFormatting>
  <conditionalFormatting sqref="D230">
    <cfRule type="expression" dxfId="361" priority="257">
      <formula>$D$409="Y"</formula>
    </cfRule>
    <cfRule type="expression" dxfId="360" priority="258">
      <formula>$D$363="Y"</formula>
    </cfRule>
  </conditionalFormatting>
  <conditionalFormatting sqref="B230">
    <cfRule type="expression" dxfId="359" priority="255">
      <formula>$D$363="Y"</formula>
    </cfRule>
  </conditionalFormatting>
  <conditionalFormatting sqref="B230">
    <cfRule type="expression" dxfId="358" priority="254">
      <formula>$D$393="Y"</formula>
    </cfRule>
  </conditionalFormatting>
  <conditionalFormatting sqref="B230">
    <cfRule type="expression" dxfId="357" priority="252">
      <formula>$D$409="Y"</formula>
    </cfRule>
    <cfRule type="expression" dxfId="356" priority="253">
      <formula>$D$363="Y"</formula>
    </cfRule>
  </conditionalFormatting>
  <conditionalFormatting sqref="B232">
    <cfRule type="expression" dxfId="355" priority="250">
      <formula>$D$363="Y"</formula>
    </cfRule>
  </conditionalFormatting>
  <conditionalFormatting sqref="B232">
    <cfRule type="expression" dxfId="354" priority="249">
      <formula>$D$393="Y"</formula>
    </cfRule>
  </conditionalFormatting>
  <conditionalFormatting sqref="B232">
    <cfRule type="expression" dxfId="353" priority="247">
      <formula>$D$409="Y"</formula>
    </cfRule>
    <cfRule type="expression" dxfId="352" priority="248">
      <formula>$D$363="Y"</formula>
    </cfRule>
  </conditionalFormatting>
  <conditionalFormatting sqref="D240">
    <cfRule type="expression" dxfId="351" priority="246">
      <formula>$D$363="Y"</formula>
    </cfRule>
  </conditionalFormatting>
  <conditionalFormatting sqref="D240">
    <cfRule type="expression" dxfId="350" priority="245">
      <formula>$D$393="Y"</formula>
    </cfRule>
  </conditionalFormatting>
  <conditionalFormatting sqref="D240">
    <cfRule type="expression" dxfId="349" priority="243">
      <formula>$D$409="Y"</formula>
    </cfRule>
    <cfRule type="expression" dxfId="348" priority="244">
      <formula>$D$363="Y"</formula>
    </cfRule>
  </conditionalFormatting>
  <conditionalFormatting sqref="D236">
    <cfRule type="expression" dxfId="347" priority="242">
      <formula>$D$363="Y"</formula>
    </cfRule>
  </conditionalFormatting>
  <conditionalFormatting sqref="D236">
    <cfRule type="expression" dxfId="346" priority="241">
      <formula>$D$393="Y"</formula>
    </cfRule>
  </conditionalFormatting>
  <conditionalFormatting sqref="D236">
    <cfRule type="expression" dxfId="345" priority="239">
      <formula>$D$409="Y"</formula>
    </cfRule>
    <cfRule type="expression" dxfId="344" priority="240">
      <formula>$D$363="Y"</formula>
    </cfRule>
  </conditionalFormatting>
  <conditionalFormatting sqref="B236">
    <cfRule type="expression" dxfId="343" priority="237">
      <formula>$D$363="Y"</formula>
    </cfRule>
  </conditionalFormatting>
  <conditionalFormatting sqref="B236">
    <cfRule type="expression" dxfId="342" priority="236">
      <formula>$D$393="Y"</formula>
    </cfRule>
  </conditionalFormatting>
  <conditionalFormatting sqref="B236">
    <cfRule type="expression" dxfId="341" priority="234">
      <formula>$D$409="Y"</formula>
    </cfRule>
    <cfRule type="expression" dxfId="340" priority="235">
      <formula>$D$363="Y"</formula>
    </cfRule>
  </conditionalFormatting>
  <conditionalFormatting sqref="B240">
    <cfRule type="expression" dxfId="339" priority="232">
      <formula>$D$363="Y"</formula>
    </cfRule>
  </conditionalFormatting>
  <conditionalFormatting sqref="B240">
    <cfRule type="expression" dxfId="338" priority="231">
      <formula>$D$393="Y"</formula>
    </cfRule>
  </conditionalFormatting>
  <conditionalFormatting sqref="B240">
    <cfRule type="expression" dxfId="337" priority="229">
      <formula>$D$409="Y"</formula>
    </cfRule>
    <cfRule type="expression" dxfId="336" priority="230">
      <formula>$D$363="Y"</formula>
    </cfRule>
  </conditionalFormatting>
  <conditionalFormatting sqref="D248">
    <cfRule type="expression" dxfId="335" priority="228">
      <formula>$D$363="Y"</formula>
    </cfRule>
  </conditionalFormatting>
  <conditionalFormatting sqref="D248">
    <cfRule type="expression" dxfId="334" priority="227">
      <formula>$D$393="Y"</formula>
    </cfRule>
  </conditionalFormatting>
  <conditionalFormatting sqref="D248">
    <cfRule type="expression" dxfId="333" priority="225">
      <formula>$D$409="Y"</formula>
    </cfRule>
    <cfRule type="expression" dxfId="332" priority="226">
      <formula>$D$363="Y"</formula>
    </cfRule>
  </conditionalFormatting>
  <conditionalFormatting sqref="D244">
    <cfRule type="expression" dxfId="331" priority="224">
      <formula>$D$363="Y"</formula>
    </cfRule>
  </conditionalFormatting>
  <conditionalFormatting sqref="D244">
    <cfRule type="expression" dxfId="330" priority="223">
      <formula>$D$393="Y"</formula>
    </cfRule>
  </conditionalFormatting>
  <conditionalFormatting sqref="D244">
    <cfRule type="expression" dxfId="329" priority="221">
      <formula>$D$409="Y"</formula>
    </cfRule>
    <cfRule type="expression" dxfId="328" priority="222">
      <formula>$D$363="Y"</formula>
    </cfRule>
  </conditionalFormatting>
  <conditionalFormatting sqref="B244">
    <cfRule type="expression" dxfId="327" priority="219">
      <formula>$D$363="Y"</formula>
    </cfRule>
  </conditionalFormatting>
  <conditionalFormatting sqref="B244">
    <cfRule type="expression" dxfId="326" priority="218">
      <formula>$D$393="Y"</formula>
    </cfRule>
  </conditionalFormatting>
  <conditionalFormatting sqref="B244">
    <cfRule type="expression" dxfId="325" priority="216">
      <formula>$D$409="Y"</formula>
    </cfRule>
    <cfRule type="expression" dxfId="324" priority="217">
      <formula>$D$363="Y"</formula>
    </cfRule>
  </conditionalFormatting>
  <conditionalFormatting sqref="B248">
    <cfRule type="expression" dxfId="323" priority="214">
      <formula>$D$363="Y"</formula>
    </cfRule>
  </conditionalFormatting>
  <conditionalFormatting sqref="B248">
    <cfRule type="expression" dxfId="322" priority="213">
      <formula>$D$393="Y"</formula>
    </cfRule>
  </conditionalFormatting>
  <conditionalFormatting sqref="B248">
    <cfRule type="expression" dxfId="321" priority="211">
      <formula>$D$409="Y"</formula>
    </cfRule>
    <cfRule type="expression" dxfId="320" priority="212">
      <formula>$D$363="Y"</formula>
    </cfRule>
  </conditionalFormatting>
  <conditionalFormatting sqref="B170 D170 B178 D178 B186 D186 B192 D192 B198 D198 B204 D204 B210 D210 B216 D216 B222 D222 B228 D228 B234 D234 B242 D242">
    <cfRule type="expression" dxfId="319" priority="210">
      <formula>$D$28="Y"</formula>
    </cfRule>
  </conditionalFormatting>
  <conditionalFormatting sqref="F170 H170 B172 D172 B176 D176">
    <cfRule type="expression" dxfId="318" priority="209">
      <formula>$D$170="Y"</formula>
    </cfRule>
  </conditionalFormatting>
  <conditionalFormatting sqref="F174 H174">
    <cfRule type="expression" dxfId="317" priority="207">
      <formula>$D$174="Y"</formula>
    </cfRule>
  </conditionalFormatting>
  <conditionalFormatting sqref="F178 H178 B180 D180 B184 D184">
    <cfRule type="expression" dxfId="316" priority="206">
      <formula>$D$178="Y"</formula>
    </cfRule>
  </conditionalFormatting>
  <conditionalFormatting sqref="F182 H182">
    <cfRule type="expression" dxfId="315" priority="204">
      <formula>$D$182="Y"</formula>
    </cfRule>
  </conditionalFormatting>
  <conditionalFormatting sqref="F186 H186 B188 D188 B190 D190">
    <cfRule type="expression" dxfId="314" priority="193">
      <formula>$D$186="Y"</formula>
    </cfRule>
  </conditionalFormatting>
  <conditionalFormatting sqref="F192 H192 B194 D194 B196 D196">
    <cfRule type="expression" dxfId="313" priority="191">
      <formula>$D$192="Y"</formula>
    </cfRule>
  </conditionalFormatting>
  <conditionalFormatting sqref="F198 H198 B200 D200 B202 D202">
    <cfRule type="expression" dxfId="312" priority="189">
      <formula>$D$198="Y"</formula>
    </cfRule>
  </conditionalFormatting>
  <conditionalFormatting sqref="F204 H204 B206 D206 B208 D208">
    <cfRule type="expression" dxfId="311" priority="187">
      <formula>$D$204="Y"</formula>
    </cfRule>
  </conditionalFormatting>
  <conditionalFormatting sqref="F210 H210 B212 D212 B214 D214">
    <cfRule type="expression" dxfId="310" priority="185">
      <formula>$D$210="Y"</formula>
    </cfRule>
  </conditionalFormatting>
  <conditionalFormatting sqref="F216 H216 B218 D218 B220 D220">
    <cfRule type="expression" dxfId="309" priority="183">
      <formula>$D$216="Y"</formula>
    </cfRule>
  </conditionalFormatting>
  <conditionalFormatting sqref="F222 H222 B224 D224 B226 D226">
    <cfRule type="expression" dxfId="308" priority="181">
      <formula>$D$222="Y"</formula>
    </cfRule>
  </conditionalFormatting>
  <conditionalFormatting sqref="F228 H228 B230 D230 B232 D232">
    <cfRule type="expression" dxfId="307" priority="179">
      <formula>$D$228="Y"</formula>
    </cfRule>
  </conditionalFormatting>
  <conditionalFormatting sqref="F234 H234 B236 D236 B240 D240">
    <cfRule type="expression" dxfId="306" priority="177">
      <formula>$D$234="Y"</formula>
    </cfRule>
  </conditionalFormatting>
  <conditionalFormatting sqref="F242 H242 B244 D244 B248 D248">
    <cfRule type="expression" dxfId="305" priority="174">
      <formula>$D$242="Y"</formula>
    </cfRule>
  </conditionalFormatting>
  <conditionalFormatting sqref="B252 D252">
    <cfRule type="expression" dxfId="304" priority="146">
      <formula>$D$28="Y"</formula>
    </cfRule>
  </conditionalFormatting>
  <conditionalFormatting sqref="B254 D254 B266 D266">
    <cfRule type="expression" dxfId="303" priority="143">
      <formula>$D$252="Y"</formula>
    </cfRule>
  </conditionalFormatting>
  <conditionalFormatting sqref="B264 D264">
    <cfRule type="expression" dxfId="302" priority="123">
      <formula>$D$28="Y"</formula>
    </cfRule>
  </conditionalFormatting>
  <conditionalFormatting sqref="B266 D266">
    <cfRule type="expression" dxfId="301" priority="118">
      <formula>$D$264="Y"</formula>
    </cfRule>
  </conditionalFormatting>
  <conditionalFormatting sqref="F272 H272">
    <cfRule type="expression" dxfId="300" priority="116">
      <formula>$D$272="Y"</formula>
    </cfRule>
  </conditionalFormatting>
  <conditionalFormatting sqref="B278 D278">
    <cfRule type="expression" dxfId="299" priority="97">
      <formula>$D$28="Y"</formula>
    </cfRule>
  </conditionalFormatting>
  <conditionalFormatting sqref="B286 D286">
    <cfRule type="expression" dxfId="298" priority="69">
      <formula>$D$28="Y"</formula>
    </cfRule>
  </conditionalFormatting>
  <conditionalFormatting sqref="F286 H286 B288 D288 B290 D290 B292 D292">
    <cfRule type="expression" dxfId="297" priority="60">
      <formula>$D$286="Y"</formula>
    </cfRule>
  </conditionalFormatting>
  <conditionalFormatting sqref="B294 D294">
    <cfRule type="expression" dxfId="296" priority="58">
      <formula>$D$28="Y"</formula>
    </cfRule>
  </conditionalFormatting>
  <conditionalFormatting sqref="F294 H294 B296 D296 B298 D298">
    <cfRule type="expression" dxfId="295" priority="55">
      <formula>$D$294="Y"</formula>
    </cfRule>
  </conditionalFormatting>
  <conditionalFormatting sqref="B300 D300">
    <cfRule type="expression" dxfId="294" priority="53">
      <formula>$D$28="Y"</formula>
    </cfRule>
  </conditionalFormatting>
  <conditionalFormatting sqref="H300 B302 D302 B306 D306">
    <cfRule type="expression" dxfId="293" priority="49">
      <formula>$D$300="Y"</formula>
    </cfRule>
  </conditionalFormatting>
  <conditionalFormatting sqref="F300">
    <cfRule type="expression" dxfId="292" priority="48">
      <formula>$D$300="Y"</formula>
    </cfRule>
  </conditionalFormatting>
  <conditionalFormatting sqref="B308 D308">
    <cfRule type="expression" dxfId="291" priority="47">
      <formula>$D$28="Y"</formula>
    </cfRule>
  </conditionalFormatting>
  <conditionalFormatting sqref="H308 B310 D310 B314 D314 F308">
    <cfRule type="expression" dxfId="290" priority="44">
      <formula>$D$308="Y"</formula>
    </cfRule>
  </conditionalFormatting>
  <conditionalFormatting sqref="B316 D316">
    <cfRule type="expression" dxfId="289" priority="42">
      <formula>$D$28="Y"</formula>
    </cfRule>
  </conditionalFormatting>
  <conditionalFormatting sqref="F316 H316 B318 D318 B322 D322">
    <cfRule type="expression" dxfId="288" priority="39">
      <formula>$D$316="Y"</formula>
    </cfRule>
  </conditionalFormatting>
  <conditionalFormatting sqref="F278 H278 B280 D280 B282 D282 B284 D284">
    <cfRule type="expression" dxfId="287" priority="36">
      <formula>$D$278="Y"</formula>
    </cfRule>
  </conditionalFormatting>
  <conditionalFormatting sqref="F120">
    <cfRule type="expression" dxfId="286" priority="27">
      <formula>$D$120="Y"</formula>
    </cfRule>
  </conditionalFormatting>
  <conditionalFormatting sqref="G136">
    <cfRule type="expression" dxfId="285" priority="25">
      <formula>$D136="Y"</formula>
    </cfRule>
  </conditionalFormatting>
  <conditionalFormatting sqref="H136">
    <cfRule type="expression" dxfId="284" priority="24">
      <formula>$D136="Y"</formula>
    </cfRule>
  </conditionalFormatting>
  <conditionalFormatting sqref="H144">
    <cfRule type="expression" dxfId="283" priority="23">
      <formula>$D144="Y"</formula>
    </cfRule>
  </conditionalFormatting>
  <conditionalFormatting sqref="D148">
    <cfRule type="expression" dxfId="282" priority="22">
      <formula>$D148="Y"</formula>
    </cfRule>
  </conditionalFormatting>
  <conditionalFormatting sqref="H160">
    <cfRule type="expression" dxfId="281" priority="21">
      <formula>$D$152="Y"</formula>
    </cfRule>
  </conditionalFormatting>
  <conditionalFormatting sqref="D164">
    <cfRule type="expression" dxfId="280" priority="20">
      <formula>$D$152="Y"</formula>
    </cfRule>
  </conditionalFormatting>
  <conditionalFormatting sqref="F40 H40">
    <cfRule type="expression" dxfId="279" priority="18">
      <formula>$D$40="Y"</formula>
    </cfRule>
  </conditionalFormatting>
  <conditionalFormatting sqref="F62 H62">
    <cfRule type="expression" dxfId="278" priority="17">
      <formula>$D$62="Y"</formula>
    </cfRule>
  </conditionalFormatting>
  <conditionalFormatting sqref="F132">
    <cfRule type="expression" dxfId="277" priority="16">
      <formula>$D$128="Y"</formula>
    </cfRule>
  </conditionalFormatting>
  <conditionalFormatting sqref="B72 D72">
    <cfRule type="expression" dxfId="276" priority="15">
      <formula>$D$24="Y"</formula>
    </cfRule>
  </conditionalFormatting>
  <conditionalFormatting sqref="F72 H72 B74 D74 B76 D76">
    <cfRule type="expression" dxfId="275" priority="12">
      <formula>$D$72="Y"</formula>
    </cfRule>
  </conditionalFormatting>
  <conditionalFormatting sqref="F326 H326">
    <cfRule type="expression" dxfId="274" priority="8">
      <formula>$D$326="Y"</formula>
    </cfRule>
  </conditionalFormatting>
  <conditionalFormatting sqref="B256 D256 B262 D262">
    <cfRule type="expression" dxfId="273" priority="6">
      <formula>$D$252="Y"</formula>
    </cfRule>
  </conditionalFormatting>
  <conditionalFormatting sqref="F252 H252">
    <cfRule type="expression" dxfId="272" priority="5">
      <formula>$D$252="Y"</formula>
    </cfRule>
  </conditionalFormatting>
  <conditionalFormatting sqref="F264 H264 B268 D268">
    <cfRule type="expression" dxfId="271" priority="4">
      <formula>$D$264="Y"</formula>
    </cfRule>
  </conditionalFormatting>
  <conditionalFormatting sqref="B274 D274">
    <cfRule type="expression" dxfId="270" priority="3">
      <formula>$D$264="Y"</formula>
    </cfRule>
  </conditionalFormatting>
  <conditionalFormatting sqref="B278 B286 D278 D286 B294 D294 B300 D300 B308 D308 B316 D316">
    <cfRule type="expression" dxfId="269" priority="2">
      <formula>$D$32="Y"</formula>
    </cfRule>
  </conditionalFormatting>
  <conditionalFormatting sqref="B252 D252 B264 D264">
    <cfRule type="expression" dxfId="268" priority="1">
      <formula>$D$30="Y"</formula>
    </cfRule>
  </conditionalFormatting>
  <dataValidations count="1">
    <dataValidation allowBlank="1" showInputMessage="1" showErrorMessage="1" sqref="D140" xr:uid="{DC3BC072-5E50-4EDA-81FF-85BA97BBF7BC}"/>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717" id="{EB5484B3-1E40-4E81-BE20-6D1CE5DF31CE}">
            <xm:f>$H$437='Data lists'!$I$1</xm:f>
            <x14:dxf>
              <border>
                <left style="thin">
                  <color auto="1"/>
                </left>
                <right style="thin">
                  <color auto="1"/>
                </right>
                <top style="thin">
                  <color auto="1"/>
                </top>
                <bottom style="thin">
                  <color auto="1"/>
                </bottom>
                <vertical/>
                <horizontal/>
              </border>
            </x14:dxf>
          </x14:cfRule>
          <xm:sqref>B174:B175 H172 D112:D116 B177 H180</xm:sqref>
        </x14:conditionalFormatting>
        <x14:conditionalFormatting xmlns:xm="http://schemas.microsoft.com/office/excel/2006/main">
          <x14:cfRule type="expression" priority="724" id="{5C21C59C-FA18-4919-8500-6EFF81A73410}">
            <xm:f>$H$409='Data lists'!$I$1</xm:f>
            <x14:dxf>
              <border>
                <left style="thin">
                  <color auto="1"/>
                </left>
                <right style="thin">
                  <color auto="1"/>
                </right>
                <top style="thin">
                  <color auto="1"/>
                </top>
                <bottom style="thin">
                  <color auto="1"/>
                </bottom>
                <vertical/>
                <horizontal/>
              </border>
            </x14:dxf>
          </x14:cfRule>
          <xm:sqref>B120 D120 D128</xm:sqref>
        </x14:conditionalFormatting>
        <x14:conditionalFormatting xmlns:xm="http://schemas.microsoft.com/office/excel/2006/main">
          <x14:cfRule type="expression" priority="711" id="{5C1D4BC0-5B8E-4959-BCA2-6654A8E6A5E3}">
            <xm:f>$D$22='Data lists'!$I$1</xm:f>
            <x14:dxf>
              <border>
                <left style="thin">
                  <color auto="1"/>
                </left>
                <right style="thin">
                  <color auto="1"/>
                </right>
                <top style="thin">
                  <color auto="1"/>
                </top>
                <bottom style="thin">
                  <color auto="1"/>
                </bottom>
                <vertical/>
                <horizontal/>
              </border>
            </x14:dxf>
          </x14:cfRule>
          <xm:sqref>B18 B20 B24 D24 B26 D26 B28 D28 B30 B32 B36 D30 D32 D36</xm:sqref>
        </x14:conditionalFormatting>
        <x14:conditionalFormatting xmlns:xm="http://schemas.microsoft.com/office/excel/2006/main">
          <x14:cfRule type="expression" priority="703" id="{C0B3133C-B921-4F88-810A-79DA8830558D}">
            <xm:f>$D$22='Data lists'!$I$1</xm:f>
            <x14:dxf>
              <border>
                <left style="thin">
                  <color auto="1"/>
                </left>
                <right style="thin">
                  <color auto="1"/>
                </right>
                <top style="thin">
                  <color auto="1"/>
                </top>
                <bottom style="thin">
                  <color auto="1"/>
                </bottom>
                <vertical/>
                <horizontal/>
              </border>
            </x14:dxf>
          </x14:cfRule>
          <xm:sqref>B34 B36 D36</xm:sqref>
        </x14:conditionalFormatting>
        <x14:conditionalFormatting xmlns:xm="http://schemas.microsoft.com/office/excel/2006/main">
          <x14:cfRule type="expression" priority="541" id="{908AFE1B-274F-4D54-A224-5C6DC077D4AE}">
            <xm:f>$D$44='Data lists'!$I$1</xm:f>
            <x14:dxf>
              <border>
                <left style="thin">
                  <color auto="1"/>
                </left>
                <right style="thin">
                  <color auto="1"/>
                </right>
                <top style="thin">
                  <color auto="1"/>
                </top>
                <bottom style="thin">
                  <color auto="1"/>
                </bottom>
              </border>
            </x14:dxf>
          </x14:cfRule>
          <xm:sqref>F44 H44 F46 H46</xm:sqref>
        </x14:conditionalFormatting>
        <x14:conditionalFormatting xmlns:xm="http://schemas.microsoft.com/office/excel/2006/main">
          <x14:cfRule type="expression" priority="539" id="{15C80884-AE22-494D-BE2D-D6B4D6A43094}">
            <xm:f>$D$50='Data lists'!$I$1</xm:f>
            <x14:dxf>
              <border>
                <left style="thin">
                  <color auto="1"/>
                </left>
                <right style="thin">
                  <color auto="1"/>
                </right>
                <top style="thin">
                  <color auto="1"/>
                </top>
                <bottom style="thin">
                  <color auto="1"/>
                </bottom>
                <vertical/>
                <horizontal/>
              </border>
            </x14:dxf>
          </x14:cfRule>
          <xm:sqref>F50 H50 F52 H52</xm:sqref>
        </x14:conditionalFormatting>
        <x14:conditionalFormatting xmlns:xm="http://schemas.microsoft.com/office/excel/2006/main">
          <x14:cfRule type="expression" priority="534" id="{64FC94AC-B091-46DE-8A40-04E99CAE82BF}">
            <xm:f>$D$56='Data lists'!$I$1</xm:f>
            <x14:dxf>
              <border>
                <left style="thin">
                  <color auto="1"/>
                </left>
                <right style="thin">
                  <color auto="1"/>
                </right>
                <top style="thin">
                  <color auto="1"/>
                </top>
                <bottom style="thin">
                  <color auto="1"/>
                </bottom>
                <vertical/>
                <horizontal/>
              </border>
            </x14:dxf>
          </x14:cfRule>
          <xm:sqref>F56 H56 F58 H58 B60 D60 B62 D62 F60 H60 B64 D64</xm:sqref>
        </x14:conditionalFormatting>
        <x14:conditionalFormatting xmlns:xm="http://schemas.microsoft.com/office/excel/2006/main">
          <x14:cfRule type="expression" priority="531" id="{78845488-5750-41D1-B72B-B0EB8AA2F945}">
            <xm:f>$D$68='Data lists'!$I$1</xm:f>
            <x14:dxf>
              <border>
                <left style="thin">
                  <color auto="1"/>
                </left>
                <right style="thin">
                  <color auto="1"/>
                </right>
                <top style="thin">
                  <color auto="1"/>
                </top>
                <bottom style="thin">
                  <color auto="1"/>
                </bottom>
                <vertical/>
                <horizontal/>
              </border>
            </x14:dxf>
          </x14:cfRule>
          <xm:sqref>F68 H68</xm:sqref>
        </x14:conditionalFormatting>
        <x14:conditionalFormatting xmlns:xm="http://schemas.microsoft.com/office/excel/2006/main">
          <x14:cfRule type="expression" priority="523" id="{5F1E4B71-218C-4FE5-B932-F7D22475BE16}">
            <xm:f>$D$80='Data lists'!$I$1</xm:f>
            <x14:dxf>
              <border>
                <left style="thin">
                  <color auto="1"/>
                </left>
                <right style="thin">
                  <color auto="1"/>
                </right>
                <top style="thin">
                  <color auto="1"/>
                </top>
                <bottom style="thin">
                  <color auto="1"/>
                </bottom>
                <vertical/>
                <horizontal/>
              </border>
            </x14:dxf>
          </x14:cfRule>
          <xm:sqref>F80 H80</xm:sqref>
        </x14:conditionalFormatting>
        <x14:conditionalFormatting xmlns:xm="http://schemas.microsoft.com/office/excel/2006/main">
          <x14:cfRule type="expression" priority="521" id="{6B9998FD-8402-4C51-89B6-1075678A7638}">
            <xm:f>$D$86='Data lists'!$I$1</xm:f>
            <x14:dxf>
              <border>
                <left style="thin">
                  <color auto="1"/>
                </left>
                <right style="thin">
                  <color auto="1"/>
                </right>
                <top style="thin">
                  <color auto="1"/>
                </top>
                <bottom style="thin">
                  <color auto="1"/>
                </bottom>
                <vertical/>
                <horizontal/>
              </border>
            </x14:dxf>
          </x14:cfRule>
          <xm:sqref>F86 H86</xm:sqref>
        </x14:conditionalFormatting>
        <x14:conditionalFormatting xmlns:xm="http://schemas.microsoft.com/office/excel/2006/main">
          <x14:cfRule type="expression" priority="518" id="{5AF9682D-1623-4FD7-BA64-42101044C893}">
            <xm:f>$D$92='Data lists'!$I$1</xm:f>
            <x14:dxf>
              <border>
                <left style="thin">
                  <color auto="1"/>
                </left>
                <right style="thin">
                  <color auto="1"/>
                </right>
                <top style="thin">
                  <color auto="1"/>
                </top>
                <bottom style="thin">
                  <color auto="1"/>
                </bottom>
                <vertical/>
                <horizontal/>
              </border>
            </x14:dxf>
          </x14:cfRule>
          <xm:sqref>F92 H92</xm:sqref>
        </x14:conditionalFormatting>
        <x14:conditionalFormatting xmlns:xm="http://schemas.microsoft.com/office/excel/2006/main">
          <x14:cfRule type="expression" priority="510" id="{2DAE3838-B59D-4289-B31E-05BA7DC0E400}">
            <xm:f>$D$106='Data lists'!$I$1</xm:f>
            <x14:dxf>
              <border>
                <left style="thin">
                  <color auto="1"/>
                </left>
                <right style="thin">
                  <color auto="1"/>
                </right>
                <top style="thin">
                  <color auto="1"/>
                </top>
                <bottom style="thin">
                  <color auto="1"/>
                </bottom>
                <vertical/>
                <horizontal/>
              </border>
            </x14:dxf>
          </x14:cfRule>
          <xm:sqref>F106 H106 B108 D108 B112 D112</xm:sqref>
        </x14:conditionalFormatting>
        <x14:conditionalFormatting xmlns:xm="http://schemas.microsoft.com/office/excel/2006/main">
          <x14:cfRule type="expression" priority="478" id="{8FC7C3CB-C3B0-44EE-850E-25B7113C7CB6}">
            <xm:f>$D$122='Data lists'!$I$1</xm:f>
            <x14:dxf>
              <border>
                <left style="thin">
                  <color auto="1"/>
                </left>
                <right style="thin">
                  <color auto="1"/>
                </right>
                <top style="thin">
                  <color auto="1"/>
                </top>
                <bottom style="thin">
                  <color auto="1"/>
                </bottom>
                <vertical/>
                <horizontal/>
              </border>
            </x14:dxf>
          </x14:cfRule>
          <xm:sqref>B124 D124 H122</xm:sqref>
        </x14:conditionalFormatting>
        <x14:conditionalFormatting xmlns:xm="http://schemas.microsoft.com/office/excel/2006/main">
          <x14:cfRule type="expression" priority="476" id="{E4953211-7EFE-4739-96B6-8AD91B7FF210}">
            <xm:f>$H$409='Data lists'!$I$1</xm:f>
            <x14:dxf>
              <border>
                <left style="thin">
                  <color auto="1"/>
                </left>
                <right style="thin">
                  <color auto="1"/>
                </right>
                <top style="thin">
                  <color auto="1"/>
                </top>
                <bottom style="thin">
                  <color auto="1"/>
                </bottom>
                <vertical/>
                <horizontal/>
              </border>
            </x14:dxf>
          </x14:cfRule>
          <xm:sqref>B128</xm:sqref>
        </x14:conditionalFormatting>
        <x14:conditionalFormatting xmlns:xm="http://schemas.microsoft.com/office/excel/2006/main">
          <x14:cfRule type="expression" priority="446" id="{D183B656-BD0F-41F2-88DD-DDDCB7D33089}">
            <xm:f>$D$130='Data lists'!$I$1</xm:f>
            <x14:dxf>
              <border>
                <left style="thin">
                  <color auto="1"/>
                </left>
                <right style="thin">
                  <color auto="1"/>
                </right>
                <top style="thin">
                  <color auto="1"/>
                </top>
                <bottom style="thin">
                  <color auto="1"/>
                </bottom>
                <vertical/>
                <horizontal/>
              </border>
            </x14:dxf>
          </x14:cfRule>
          <xm:sqref>B132 D132 H130</xm:sqref>
        </x14:conditionalFormatting>
        <x14:conditionalFormatting xmlns:xm="http://schemas.microsoft.com/office/excel/2006/main">
          <x14:cfRule type="expression" priority="442" id="{EAF86871-DA91-41B2-B88E-29D77B8F36FB}">
            <xm:f>$H$409='Data lists'!$I$1</xm:f>
            <x14:dxf>
              <border>
                <left style="thin">
                  <color auto="1"/>
                </left>
                <right style="thin">
                  <color auto="1"/>
                </right>
                <top style="thin">
                  <color auto="1"/>
                </top>
                <bottom style="thin">
                  <color auto="1"/>
                </bottom>
                <vertical/>
                <horizontal/>
              </border>
            </x14:dxf>
          </x14:cfRule>
          <xm:sqref>D136</xm:sqref>
        </x14:conditionalFormatting>
        <x14:conditionalFormatting xmlns:xm="http://schemas.microsoft.com/office/excel/2006/main">
          <x14:cfRule type="expression" priority="439" id="{2F859336-90BD-43AC-84B3-88268836680D}">
            <xm:f>$H$409='Data lists'!$I$1</xm:f>
            <x14:dxf>
              <border>
                <left style="thin">
                  <color auto="1"/>
                </left>
                <right style="thin">
                  <color auto="1"/>
                </right>
                <top style="thin">
                  <color auto="1"/>
                </top>
                <bottom style="thin">
                  <color auto="1"/>
                </bottom>
                <vertical/>
                <horizontal/>
              </border>
            </x14:dxf>
          </x14:cfRule>
          <xm:sqref>B136</xm:sqref>
        </x14:conditionalFormatting>
        <x14:conditionalFormatting xmlns:xm="http://schemas.microsoft.com/office/excel/2006/main">
          <x14:cfRule type="expression" priority="427" id="{03314C5D-15AC-484E-A619-ECDB53335B06}">
            <xm:f>$D$138='Data lists'!$I$1</xm:f>
            <x14:dxf>
              <border>
                <left style="thin">
                  <color auto="1"/>
                </left>
                <right style="thin">
                  <color auto="1"/>
                </right>
                <top style="thin">
                  <color auto="1"/>
                </top>
                <bottom style="thin">
                  <color auto="1"/>
                </bottom>
              </border>
            </x14:dxf>
          </x14:cfRule>
          <xm:sqref>F138 H138 B140 D140</xm:sqref>
        </x14:conditionalFormatting>
        <x14:conditionalFormatting xmlns:xm="http://schemas.microsoft.com/office/excel/2006/main">
          <x14:cfRule type="expression" priority="426" id="{1E969E18-50D1-4EB7-9D47-6D473A30D7BE}">
            <xm:f>$H$409='Data lists'!$I$1</xm:f>
            <x14:dxf>
              <border>
                <left style="thin">
                  <color auto="1"/>
                </left>
                <right style="thin">
                  <color auto="1"/>
                </right>
                <top style="thin">
                  <color auto="1"/>
                </top>
                <bottom style="thin">
                  <color auto="1"/>
                </bottom>
                <vertical/>
                <horizontal/>
              </border>
            </x14:dxf>
          </x14:cfRule>
          <xm:sqref>D144</xm:sqref>
        </x14:conditionalFormatting>
        <x14:conditionalFormatting xmlns:xm="http://schemas.microsoft.com/office/excel/2006/main">
          <x14:cfRule type="expression" priority="424" id="{DB10F783-C119-46E1-AF49-AA9767F57DF3}">
            <xm:f>$H$409='Data lists'!$I$1</xm:f>
            <x14:dxf>
              <border>
                <left style="thin">
                  <color auto="1"/>
                </left>
                <right style="thin">
                  <color auto="1"/>
                </right>
                <top style="thin">
                  <color auto="1"/>
                </top>
                <bottom style="thin">
                  <color auto="1"/>
                </bottom>
                <vertical/>
                <horizontal/>
              </border>
            </x14:dxf>
          </x14:cfRule>
          <xm:sqref>B144</xm:sqref>
        </x14:conditionalFormatting>
        <x14:conditionalFormatting xmlns:xm="http://schemas.microsoft.com/office/excel/2006/main">
          <x14:cfRule type="expression" priority="418" id="{73EE1B2F-D9B9-455F-BF2A-A2AE30C2BE13}">
            <xm:f>$D$146='Data lists'!$I$1</xm:f>
            <x14:dxf>
              <border>
                <left style="thin">
                  <color auto="1"/>
                </left>
                <right style="thin">
                  <color auto="1"/>
                </right>
                <top style="thin">
                  <color auto="1"/>
                </top>
                <bottom style="thin">
                  <color auto="1"/>
                </bottom>
                <vertical/>
                <horizontal/>
              </border>
            </x14:dxf>
          </x14:cfRule>
          <xm:sqref>F146 H146 B148</xm:sqref>
        </x14:conditionalFormatting>
        <x14:conditionalFormatting xmlns:xm="http://schemas.microsoft.com/office/excel/2006/main">
          <x14:cfRule type="expression" priority="417" id="{5D275B07-C764-4DC1-9B46-42DFD3097179}">
            <xm:f>$H$409='Data lists'!$I$1</xm:f>
            <x14:dxf>
              <border>
                <left style="thin">
                  <color auto="1"/>
                </left>
                <right style="thin">
                  <color auto="1"/>
                </right>
                <top style="thin">
                  <color auto="1"/>
                </top>
                <bottom style="thin">
                  <color auto="1"/>
                </bottom>
                <vertical/>
                <horizontal/>
              </border>
            </x14:dxf>
          </x14:cfRule>
          <xm:sqref>D152</xm:sqref>
        </x14:conditionalFormatting>
        <x14:conditionalFormatting xmlns:xm="http://schemas.microsoft.com/office/excel/2006/main">
          <x14:cfRule type="expression" priority="416" id="{8D099449-6AE5-4470-966F-C0BBB68E3D73}">
            <xm:f>$H$409='Data lists'!$I$1</xm:f>
            <x14:dxf>
              <border>
                <left style="thin">
                  <color auto="1"/>
                </left>
                <right style="thin">
                  <color auto="1"/>
                </right>
                <top style="thin">
                  <color auto="1"/>
                </top>
                <bottom style="thin">
                  <color auto="1"/>
                </bottom>
                <vertical/>
                <horizontal/>
              </border>
            </x14:dxf>
          </x14:cfRule>
          <xm:sqref>B152</xm:sqref>
        </x14:conditionalFormatting>
        <x14:conditionalFormatting xmlns:xm="http://schemas.microsoft.com/office/excel/2006/main">
          <x14:cfRule type="expression" priority="411" id="{026284D7-EF3B-4962-B313-9A9DCEBCBE75}">
            <xm:f>$D$154='Data lists'!$I$1</xm:f>
            <x14:dxf>
              <border>
                <left style="thin">
                  <color auto="1"/>
                </left>
                <right style="thin">
                  <color auto="1"/>
                </right>
                <top style="thin">
                  <color auto="1"/>
                </top>
                <bottom style="thin">
                  <color auto="1"/>
                </bottom>
                <vertical/>
                <horizontal/>
              </border>
            </x14:dxf>
          </x14:cfRule>
          <xm:sqref>F154 H154 B156 D156</xm:sqref>
        </x14:conditionalFormatting>
        <x14:conditionalFormatting xmlns:xm="http://schemas.microsoft.com/office/excel/2006/main">
          <x14:cfRule type="expression" priority="410" id="{39BF6E39-F83C-44A8-B3F1-DE3B4CB81879}">
            <xm:f>$H$409='Data lists'!$I$1</xm:f>
            <x14:dxf>
              <border>
                <left style="thin">
                  <color auto="1"/>
                </left>
                <right style="thin">
                  <color auto="1"/>
                </right>
                <top style="thin">
                  <color auto="1"/>
                </top>
                <bottom style="thin">
                  <color auto="1"/>
                </bottom>
                <vertical/>
                <horizontal/>
              </border>
            </x14:dxf>
          </x14:cfRule>
          <xm:sqref>D160</xm:sqref>
        </x14:conditionalFormatting>
        <x14:conditionalFormatting xmlns:xm="http://schemas.microsoft.com/office/excel/2006/main">
          <x14:cfRule type="expression" priority="409" id="{7EF151C4-A573-463E-B1F3-C993C6026EF5}">
            <xm:f>$H$409='Data lists'!$I$1</xm:f>
            <x14:dxf>
              <border>
                <left style="thin">
                  <color auto="1"/>
                </left>
                <right style="thin">
                  <color auto="1"/>
                </right>
                <top style="thin">
                  <color auto="1"/>
                </top>
                <bottom style="thin">
                  <color auto="1"/>
                </bottom>
                <vertical/>
                <horizontal/>
              </border>
            </x14:dxf>
          </x14:cfRule>
          <xm:sqref>B160</xm:sqref>
        </x14:conditionalFormatting>
        <x14:conditionalFormatting xmlns:xm="http://schemas.microsoft.com/office/excel/2006/main">
          <x14:cfRule type="expression" priority="404" id="{C7B0886D-B91B-4147-A55A-131163CCFE5F}">
            <xm:f>$D$162='Data lists'!$I$1</xm:f>
            <x14:dxf>
              <border>
                <left style="thin">
                  <color auto="1"/>
                </left>
                <right style="thin">
                  <color auto="1"/>
                </right>
                <top style="thin">
                  <color auto="1"/>
                </top>
                <bottom style="thin">
                  <color auto="1"/>
                </bottom>
                <vertical/>
                <horizontal/>
              </border>
            </x14:dxf>
          </x14:cfRule>
          <xm:sqref>F162 H162 B164 D164</xm:sqref>
        </x14:conditionalFormatting>
        <x14:conditionalFormatting xmlns:xm="http://schemas.microsoft.com/office/excel/2006/main">
          <x14:cfRule type="expression" priority="391" id="{29AACB63-49AD-4FAA-90B2-C8F3A070C77A}">
            <xm:f>$H$437='Data lists'!$I$1</xm:f>
            <x14:dxf>
              <border>
                <left style="thin">
                  <color auto="1"/>
                </left>
                <right style="thin">
                  <color auto="1"/>
                </right>
                <top style="thin">
                  <color auto="1"/>
                </top>
                <bottom style="thin">
                  <color auto="1"/>
                </bottom>
                <vertical/>
                <horizontal/>
              </border>
            </x14:dxf>
          </x14:cfRule>
          <xm:sqref>B182:B183</xm:sqref>
        </x14:conditionalFormatting>
        <x14:conditionalFormatting xmlns:xm="http://schemas.microsoft.com/office/excel/2006/main">
          <x14:cfRule type="expression" priority="382" id="{DB76B056-8ECA-49F1-B1DB-3406C9FDDB66}">
            <xm:f>$H$437='Data lists'!$I$1</xm:f>
            <x14:dxf>
              <border>
                <left style="thin">
                  <color auto="1"/>
                </left>
                <right style="thin">
                  <color auto="1"/>
                </right>
                <top style="thin">
                  <color auto="1"/>
                </top>
                <bottom style="thin">
                  <color auto="1"/>
                </bottom>
                <vertical/>
                <horizontal/>
              </border>
            </x14:dxf>
          </x14:cfRule>
          <xm:sqref>H188</xm:sqref>
        </x14:conditionalFormatting>
        <x14:conditionalFormatting xmlns:xm="http://schemas.microsoft.com/office/excel/2006/main">
          <x14:cfRule type="expression" priority="364" id="{F49CFC81-9818-4738-BCB4-A190458978B6}">
            <xm:f>$H$437='Data lists'!$I$1</xm:f>
            <x14:dxf>
              <border>
                <left style="thin">
                  <color auto="1"/>
                </left>
                <right style="thin">
                  <color auto="1"/>
                </right>
                <top style="thin">
                  <color auto="1"/>
                </top>
                <bottom style="thin">
                  <color auto="1"/>
                </bottom>
                <vertical/>
                <horizontal/>
              </border>
            </x14:dxf>
          </x14:cfRule>
          <xm:sqref>H194</xm:sqref>
        </x14:conditionalFormatting>
        <x14:conditionalFormatting xmlns:xm="http://schemas.microsoft.com/office/excel/2006/main">
          <x14:cfRule type="expression" priority="346" id="{C628ACD1-23C8-4D7F-95FB-0018D0168FE9}">
            <xm:f>$H$437='Data lists'!$I$1</xm:f>
            <x14:dxf>
              <border>
                <left style="thin">
                  <color auto="1"/>
                </left>
                <right style="thin">
                  <color auto="1"/>
                </right>
                <top style="thin">
                  <color auto="1"/>
                </top>
                <bottom style="thin">
                  <color auto="1"/>
                </bottom>
                <vertical/>
                <horizontal/>
              </border>
            </x14:dxf>
          </x14:cfRule>
          <xm:sqref>H200</xm:sqref>
        </x14:conditionalFormatting>
        <x14:conditionalFormatting xmlns:xm="http://schemas.microsoft.com/office/excel/2006/main">
          <x14:cfRule type="expression" priority="328" id="{50AC3DFA-B526-47D5-A057-0610F8875C17}">
            <xm:f>$H$437='Data lists'!$I$1</xm:f>
            <x14:dxf>
              <border>
                <left style="thin">
                  <color auto="1"/>
                </left>
                <right style="thin">
                  <color auto="1"/>
                </right>
                <top style="thin">
                  <color auto="1"/>
                </top>
                <bottom style="thin">
                  <color auto="1"/>
                </bottom>
                <vertical/>
                <horizontal/>
              </border>
            </x14:dxf>
          </x14:cfRule>
          <xm:sqref>H206</xm:sqref>
        </x14:conditionalFormatting>
        <x14:conditionalFormatting xmlns:xm="http://schemas.microsoft.com/office/excel/2006/main">
          <x14:cfRule type="expression" priority="310" id="{AC05B055-499B-4881-9D03-5CCEF8D2D965}">
            <xm:f>$H$437='Data lists'!$I$1</xm:f>
            <x14:dxf>
              <border>
                <left style="thin">
                  <color auto="1"/>
                </left>
                <right style="thin">
                  <color auto="1"/>
                </right>
                <top style="thin">
                  <color auto="1"/>
                </top>
                <bottom style="thin">
                  <color auto="1"/>
                </bottom>
                <vertical/>
                <horizontal/>
              </border>
            </x14:dxf>
          </x14:cfRule>
          <xm:sqref>H212</xm:sqref>
        </x14:conditionalFormatting>
        <x14:conditionalFormatting xmlns:xm="http://schemas.microsoft.com/office/excel/2006/main">
          <x14:cfRule type="expression" priority="292" id="{153AC02E-50E9-481A-B536-ECB4C6BC85FD}">
            <xm:f>$H$437='Data lists'!$I$1</xm:f>
            <x14:dxf>
              <border>
                <left style="thin">
                  <color auto="1"/>
                </left>
                <right style="thin">
                  <color auto="1"/>
                </right>
                <top style="thin">
                  <color auto="1"/>
                </top>
                <bottom style="thin">
                  <color auto="1"/>
                </bottom>
                <vertical/>
                <horizontal/>
              </border>
            </x14:dxf>
          </x14:cfRule>
          <xm:sqref>H218</xm:sqref>
        </x14:conditionalFormatting>
        <x14:conditionalFormatting xmlns:xm="http://schemas.microsoft.com/office/excel/2006/main">
          <x14:cfRule type="expression" priority="256" id="{E40EDB7E-DFCB-47F2-83C1-06E48DA1122D}">
            <xm:f>$H$437='Data lists'!$I$1</xm:f>
            <x14:dxf>
              <border>
                <left style="thin">
                  <color auto="1"/>
                </left>
                <right style="thin">
                  <color auto="1"/>
                </right>
                <top style="thin">
                  <color auto="1"/>
                </top>
                <bottom style="thin">
                  <color auto="1"/>
                </bottom>
                <vertical/>
                <horizontal/>
              </border>
            </x14:dxf>
          </x14:cfRule>
          <xm:sqref>H230</xm:sqref>
        </x14:conditionalFormatting>
        <x14:conditionalFormatting xmlns:xm="http://schemas.microsoft.com/office/excel/2006/main">
          <x14:cfRule type="expression" priority="238" id="{11FF831A-E93A-44E9-B8B9-267A801358AD}">
            <xm:f>$H$437='Data lists'!$I$1</xm:f>
            <x14:dxf>
              <border>
                <left style="thin">
                  <color auto="1"/>
                </left>
                <right style="thin">
                  <color auto="1"/>
                </right>
                <top style="thin">
                  <color auto="1"/>
                </top>
                <bottom style="thin">
                  <color auto="1"/>
                </bottom>
                <vertical/>
                <horizontal/>
              </border>
            </x14:dxf>
          </x14:cfRule>
          <xm:sqref>H236</xm:sqref>
        </x14:conditionalFormatting>
        <x14:conditionalFormatting xmlns:xm="http://schemas.microsoft.com/office/excel/2006/main">
          <x14:cfRule type="expression" priority="220" id="{EECD011E-2286-4676-A2E7-DDE3F4D8EA58}">
            <xm:f>$H$437='Data lists'!$I$1</xm:f>
            <x14:dxf>
              <border>
                <left style="thin">
                  <color auto="1"/>
                </left>
                <right style="thin">
                  <color auto="1"/>
                </right>
                <top style="thin">
                  <color auto="1"/>
                </top>
                <bottom style="thin">
                  <color auto="1"/>
                </bottom>
                <vertical/>
                <horizontal/>
              </border>
            </x14:dxf>
          </x14:cfRule>
          <xm:sqref>H244</xm:sqref>
        </x14:conditionalFormatting>
        <x14:conditionalFormatting xmlns:xm="http://schemas.microsoft.com/office/excel/2006/main">
          <x14:cfRule type="expression" priority="215" id="{C1B755F4-4130-4CA5-A4F5-6FD97C18E1EF}">
            <xm:f>$H$437='Data lists'!$I$1</xm:f>
            <x14:dxf>
              <border>
                <left style="thin">
                  <color auto="1"/>
                </left>
                <right style="thin">
                  <color auto="1"/>
                </right>
                <top style="thin">
                  <color auto="1"/>
                </top>
                <bottom style="thin">
                  <color auto="1"/>
                </bottom>
                <vertical/>
                <horizontal/>
              </border>
            </x14:dxf>
          </x14:cfRule>
          <xm:sqref>B246:B247</xm:sqref>
        </x14:conditionalFormatting>
        <x14:conditionalFormatting xmlns:xm="http://schemas.microsoft.com/office/excel/2006/main">
          <x14:cfRule type="expression" priority="208" id="{23CEB0FF-0DE8-47DC-9A1E-AD46F7A762C5}">
            <xm:f>$D$172='Data lists'!$I$1</xm:f>
            <x14:dxf>
              <border>
                <left style="thin">
                  <color auto="1"/>
                </left>
                <right style="thin">
                  <color auto="1"/>
                </right>
                <top style="thin">
                  <color auto="1"/>
                </top>
                <bottom style="thin">
                  <color auto="1"/>
                </bottom>
                <vertical/>
                <horizontal/>
              </border>
            </x14:dxf>
          </x14:cfRule>
          <xm:sqref>F172 H172 B174 D174</xm:sqref>
        </x14:conditionalFormatting>
        <x14:conditionalFormatting xmlns:xm="http://schemas.microsoft.com/office/excel/2006/main">
          <x14:cfRule type="expression" priority="205" id="{56C1F5E1-26D2-4B3A-9C3C-5812085B3F2A}">
            <xm:f>$D$180='Data lists'!$I$1</xm:f>
            <x14:dxf>
              <border>
                <left style="thin">
                  <color auto="1"/>
                </left>
                <right style="thin">
                  <color auto="1"/>
                </right>
                <top style="thin">
                  <color auto="1"/>
                </top>
                <bottom style="thin">
                  <color auto="1"/>
                </bottom>
                <vertical/>
                <horizontal/>
              </border>
            </x14:dxf>
          </x14:cfRule>
          <xm:sqref>F180 H180 B182 D182</xm:sqref>
        </x14:conditionalFormatting>
        <x14:conditionalFormatting xmlns:xm="http://schemas.microsoft.com/office/excel/2006/main">
          <x14:cfRule type="expression" priority="192" id="{597E2B7E-BA05-460A-8258-8B87F0062E01}">
            <xm:f>$D$188='Data lists'!$I$1</xm:f>
            <x14:dxf>
              <border>
                <left style="thin">
                  <color auto="1"/>
                </left>
                <right style="thin">
                  <color auto="1"/>
                </right>
                <top style="thin">
                  <color auto="1"/>
                </top>
                <bottom style="thin">
                  <color auto="1"/>
                </bottom>
                <vertical/>
                <horizontal/>
              </border>
            </x14:dxf>
          </x14:cfRule>
          <xm:sqref>F188 H188</xm:sqref>
        </x14:conditionalFormatting>
        <x14:conditionalFormatting xmlns:xm="http://schemas.microsoft.com/office/excel/2006/main">
          <x14:cfRule type="expression" priority="190" id="{13765200-D65E-420B-B579-6236E42CD8A9}">
            <xm:f>$D$194='Data lists'!$I$1</xm:f>
            <x14:dxf>
              <border>
                <left style="thin">
                  <color auto="1"/>
                </left>
                <right style="thin">
                  <color auto="1"/>
                </right>
                <top style="thin">
                  <color auto="1"/>
                </top>
                <bottom style="thin">
                  <color auto="1"/>
                </bottom>
                <vertical/>
                <horizontal/>
              </border>
            </x14:dxf>
          </x14:cfRule>
          <xm:sqref>F194 H194</xm:sqref>
        </x14:conditionalFormatting>
        <x14:conditionalFormatting xmlns:xm="http://schemas.microsoft.com/office/excel/2006/main">
          <x14:cfRule type="expression" priority="188" id="{C371E33D-1BA3-4836-9570-035177DB052A}">
            <xm:f>$D$200='Data lists'!$I$1</xm:f>
            <x14:dxf>
              <border>
                <left style="thin">
                  <color auto="1"/>
                </left>
                <right style="thin">
                  <color auto="1"/>
                </right>
                <top style="thin">
                  <color auto="1"/>
                </top>
                <bottom style="thin">
                  <color auto="1"/>
                </bottom>
                <vertical/>
                <horizontal/>
              </border>
            </x14:dxf>
          </x14:cfRule>
          <xm:sqref>F200 H200</xm:sqref>
        </x14:conditionalFormatting>
        <x14:conditionalFormatting xmlns:xm="http://schemas.microsoft.com/office/excel/2006/main">
          <x14:cfRule type="expression" priority="186" id="{67A8DDD6-4F9D-4256-91E4-8B2435FAF2A9}">
            <xm:f>$D$206='Data lists'!$I$1</xm:f>
            <x14:dxf>
              <border>
                <left style="thin">
                  <color auto="1"/>
                </left>
                <right style="thin">
                  <color auto="1"/>
                </right>
                <top style="thin">
                  <color auto="1"/>
                </top>
                <bottom style="thin">
                  <color auto="1"/>
                </bottom>
                <vertical/>
                <horizontal/>
              </border>
            </x14:dxf>
          </x14:cfRule>
          <xm:sqref>F206 H206</xm:sqref>
        </x14:conditionalFormatting>
        <x14:conditionalFormatting xmlns:xm="http://schemas.microsoft.com/office/excel/2006/main">
          <x14:cfRule type="expression" priority="184" id="{C0AA1280-1825-4AD1-B22C-6515E42C099E}">
            <xm:f>$D$212='Data lists'!$I$1</xm:f>
            <x14:dxf>
              <border>
                <left style="thin">
                  <color auto="1"/>
                </left>
                <right style="thin">
                  <color auto="1"/>
                </right>
                <top style="thin">
                  <color auto="1"/>
                </top>
                <bottom style="thin">
                  <color auto="1"/>
                </bottom>
                <vertical/>
                <horizontal/>
              </border>
            </x14:dxf>
          </x14:cfRule>
          <xm:sqref>F212 H212</xm:sqref>
        </x14:conditionalFormatting>
        <x14:conditionalFormatting xmlns:xm="http://schemas.microsoft.com/office/excel/2006/main">
          <x14:cfRule type="expression" priority="182" id="{937BEC28-12BA-4077-8791-DDC7023511ED}">
            <xm:f>$D$218='Data lists'!$I$1</xm:f>
            <x14:dxf>
              <border>
                <left style="thin">
                  <color auto="1"/>
                </left>
                <right style="thin">
                  <color auto="1"/>
                </right>
                <top style="thin">
                  <color auto="1"/>
                </top>
                <bottom style="thin">
                  <color auto="1"/>
                </bottom>
                <vertical/>
                <horizontal/>
              </border>
            </x14:dxf>
          </x14:cfRule>
          <xm:sqref>F218 H218</xm:sqref>
        </x14:conditionalFormatting>
        <x14:conditionalFormatting xmlns:xm="http://schemas.microsoft.com/office/excel/2006/main">
          <x14:cfRule type="expression" priority="180" id="{22E3A983-E62C-4534-ABB0-33B69BF3336E}">
            <xm:f>$D$224='Data lists'!$I$1</xm:f>
            <x14:dxf>
              <border>
                <left style="thin">
                  <color auto="1"/>
                </left>
                <right style="thin">
                  <color auto="1"/>
                </right>
                <top style="thin">
                  <color auto="1"/>
                </top>
                <bottom style="thin">
                  <color auto="1"/>
                </bottom>
              </border>
            </x14:dxf>
          </x14:cfRule>
          <xm:sqref>F224 H224</xm:sqref>
        </x14:conditionalFormatting>
        <x14:conditionalFormatting xmlns:xm="http://schemas.microsoft.com/office/excel/2006/main">
          <x14:cfRule type="expression" priority="178" id="{F6E65248-C6AB-4443-8A6E-E594883AB305}">
            <xm:f>$D$230='Data lists'!$I$1</xm:f>
            <x14:dxf>
              <border>
                <left style="thin">
                  <color auto="1"/>
                </left>
                <right style="thin">
                  <color auto="1"/>
                </right>
                <top style="thin">
                  <color auto="1"/>
                </top>
                <bottom style="thin">
                  <color auto="1"/>
                </bottom>
                <vertical/>
                <horizontal/>
              </border>
            </x14:dxf>
          </x14:cfRule>
          <xm:sqref>F230 H230</xm:sqref>
        </x14:conditionalFormatting>
        <x14:conditionalFormatting xmlns:xm="http://schemas.microsoft.com/office/excel/2006/main">
          <x14:cfRule type="expression" priority="176" id="{ED5EA245-6B4A-43ED-B868-A5FC632333D9}">
            <xm:f>$D$236='Data lists'!$I$1</xm:f>
            <x14:dxf>
              <border>
                <left style="thin">
                  <color auto="1"/>
                </left>
                <right style="thin">
                  <color auto="1"/>
                </right>
                <top style="thin">
                  <color auto="1"/>
                </top>
                <bottom style="thin">
                  <color auto="1"/>
                </bottom>
                <vertical/>
                <horizontal/>
              </border>
            </x14:dxf>
          </x14:cfRule>
          <xm:sqref>F236 H236 F238 H238 D238</xm:sqref>
        </x14:conditionalFormatting>
        <x14:conditionalFormatting xmlns:xm="http://schemas.microsoft.com/office/excel/2006/main">
          <x14:cfRule type="expression" priority="175" id="{55DB3B56-20F2-4980-85F0-5448E1FCCBDF}">
            <xm:f>$D$236='Data lists'!$I$1</xm:f>
            <x14:dxf>
              <border>
                <left style="thin">
                  <color auto="1"/>
                </left>
                <right style="thin">
                  <color auto="1"/>
                </right>
                <top style="thin">
                  <color auto="1"/>
                </top>
                <bottom style="thin">
                  <color auto="1"/>
                </bottom>
              </border>
            </x14:dxf>
          </x14:cfRule>
          <xm:sqref>B238</xm:sqref>
        </x14:conditionalFormatting>
        <x14:conditionalFormatting xmlns:xm="http://schemas.microsoft.com/office/excel/2006/main">
          <x14:cfRule type="expression" priority="173" id="{9A989F14-6E08-4424-84CF-42EA22B3ED94}">
            <xm:f>$D$244='Data lists'!$I$1</xm:f>
            <x14:dxf>
              <border>
                <left style="thin">
                  <color auto="1"/>
                </left>
                <right style="thin">
                  <color auto="1"/>
                </right>
                <top style="thin">
                  <color auto="1"/>
                </top>
                <bottom style="thin">
                  <color auto="1"/>
                </bottom>
                <vertical/>
                <horizontal/>
              </border>
            </x14:dxf>
          </x14:cfRule>
          <xm:sqref>F244 H244 B246 D246 F246 H246</xm:sqref>
        </x14:conditionalFormatting>
        <x14:conditionalFormatting xmlns:xm="http://schemas.microsoft.com/office/excel/2006/main">
          <x14:cfRule type="expression" priority="156" id="{2F8FCEE3-6EC7-4B56-84D2-53D92FCBD1C5}">
            <xm:f>$H$437='Data lists'!$I$1</xm:f>
            <x14:dxf>
              <border>
                <left style="thin">
                  <color auto="1"/>
                </left>
                <right style="thin">
                  <color auto="1"/>
                </right>
                <top style="thin">
                  <color auto="1"/>
                </top>
                <bottom style="thin">
                  <color auto="1"/>
                </bottom>
                <vertical/>
                <horizontal/>
              </border>
            </x14:dxf>
          </x14:cfRule>
          <xm:sqref>H256</xm:sqref>
        </x14:conditionalFormatting>
        <x14:conditionalFormatting xmlns:xm="http://schemas.microsoft.com/office/excel/2006/main">
          <x14:cfRule type="expression" priority="151" id="{95524A2B-E743-4A1F-AA51-C1369F407613}">
            <xm:f>$H$437='Data lists'!$I$1</xm:f>
            <x14:dxf>
              <border>
                <left style="thin">
                  <color auto="1"/>
                </left>
                <right style="thin">
                  <color auto="1"/>
                </right>
                <top style="thin">
                  <color auto="1"/>
                </top>
                <bottom style="thin">
                  <color auto="1"/>
                </bottom>
                <vertical/>
                <horizontal/>
              </border>
            </x14:dxf>
          </x14:cfRule>
          <xm:sqref>B259:B261</xm:sqref>
        </x14:conditionalFormatting>
        <x14:conditionalFormatting xmlns:xm="http://schemas.microsoft.com/office/excel/2006/main">
          <x14:cfRule type="expression" priority="142" id="{8FFFD41B-2AED-4210-AE89-1D1C129CB909}">
            <xm:f>$D$256='Data lists'!$I$1</xm:f>
            <x14:dxf>
              <border>
                <left style="thin">
                  <color auto="1"/>
                </left>
                <right style="thin">
                  <color auto="1"/>
                </right>
                <top style="thin">
                  <color auto="1"/>
                </top>
                <bottom style="thin">
                  <color auto="1"/>
                </bottom>
              </border>
            </x14:dxf>
          </x14:cfRule>
          <xm:sqref>F256 H256 B260 D260 B258 D258 H268 B270 D270</xm:sqref>
        </x14:conditionalFormatting>
        <x14:conditionalFormatting xmlns:xm="http://schemas.microsoft.com/office/excel/2006/main">
          <x14:cfRule type="expression" priority="133" id="{6894025B-580D-40D8-960A-2D7AA5E6FAAD}">
            <xm:f>$H$437='Data lists'!$I$1</xm:f>
            <x14:dxf>
              <border>
                <left style="thin">
                  <color auto="1"/>
                </left>
                <right style="thin">
                  <color auto="1"/>
                </right>
                <top style="thin">
                  <color auto="1"/>
                </top>
                <bottom style="thin">
                  <color auto="1"/>
                </bottom>
                <vertical/>
                <horizontal/>
              </border>
            </x14:dxf>
          </x14:cfRule>
          <xm:sqref>H268</xm:sqref>
        </x14:conditionalFormatting>
        <x14:conditionalFormatting xmlns:xm="http://schemas.microsoft.com/office/excel/2006/main">
          <x14:cfRule type="expression" priority="128" id="{A35D29FF-4F03-4B0C-932F-54F818A2D334}">
            <xm:f>$H$437='Data lists'!$I$1</xm:f>
            <x14:dxf>
              <border>
                <left style="thin">
                  <color auto="1"/>
                </left>
                <right style="thin">
                  <color auto="1"/>
                </right>
                <top style="thin">
                  <color auto="1"/>
                </top>
                <bottom style="thin">
                  <color auto="1"/>
                </bottom>
                <vertical/>
                <horizontal/>
              </border>
            </x14:dxf>
          </x14:cfRule>
          <xm:sqref>B273</xm:sqref>
        </x14:conditionalFormatting>
        <x14:conditionalFormatting xmlns:xm="http://schemas.microsoft.com/office/excel/2006/main">
          <x14:cfRule type="expression" priority="120" id="{B7CCDD36-9218-40F6-A971-B5EBC13801EC}">
            <xm:f>$D$256='Data lists'!$I$1</xm:f>
            <x14:dxf>
              <border>
                <left style="thin">
                  <color auto="1"/>
                </left>
                <right style="thin">
                  <color auto="1"/>
                </right>
                <top style="thin">
                  <color auto="1"/>
                </top>
                <bottom style="thin">
                  <color auto="1"/>
                </bottom>
              </border>
            </x14:dxf>
          </x14:cfRule>
          <xm:sqref>F268</xm:sqref>
        </x14:conditionalFormatting>
        <x14:conditionalFormatting xmlns:xm="http://schemas.microsoft.com/office/excel/2006/main">
          <x14:cfRule type="expression" priority="119" id="{C9717F98-4A64-4430-84D4-7640DEAD2B30}">
            <xm:f>$H$437='Data lists'!$I$1</xm:f>
            <x14:dxf>
              <border>
                <left style="thin">
                  <color auto="1"/>
                </left>
                <right style="thin">
                  <color auto="1"/>
                </right>
                <top style="thin">
                  <color auto="1"/>
                </top>
                <bottom style="thin">
                  <color auto="1"/>
                </bottom>
                <vertical/>
                <horizontal/>
              </border>
            </x14:dxf>
          </x14:cfRule>
          <xm:sqref>D272</xm:sqref>
        </x14:conditionalFormatting>
        <x14:conditionalFormatting xmlns:xm="http://schemas.microsoft.com/office/excel/2006/main">
          <x14:cfRule type="expression" priority="117" id="{CEDB03C3-EFE6-4329-AC18-F967C50C9BA1}">
            <xm:f>$D$268='Data lists'!$I$1</xm:f>
            <x14:dxf>
              <border>
                <left style="thin">
                  <color auto="1"/>
                </left>
                <right style="thin">
                  <color auto="1"/>
                </right>
                <top style="thin">
                  <color auto="1"/>
                </top>
                <bottom style="thin">
                  <color auto="1"/>
                </bottom>
                <vertical/>
                <horizontal/>
              </border>
            </x14:dxf>
          </x14:cfRule>
          <xm:sqref>F268 H268 B270 D270 B272 D272</xm:sqref>
        </x14:conditionalFormatting>
        <x14:conditionalFormatting xmlns:xm="http://schemas.microsoft.com/office/excel/2006/main">
          <x14:cfRule type="expression" priority="59" id="{D5EAB3D8-326C-4F5F-BF14-777DB78669B3}">
            <xm:f>$D$290='Data lists'!$I$1</xm:f>
            <x14:dxf>
              <border>
                <left style="thin">
                  <color auto="1"/>
                </left>
                <right style="thin">
                  <color auto="1"/>
                </right>
                <top style="thin">
                  <color auto="1"/>
                </top>
                <bottom style="thin">
                  <color auto="1"/>
                </bottom>
                <vertical/>
                <horizontal/>
              </border>
            </x14:dxf>
          </x14:cfRule>
          <xm:sqref>F290 H290</xm:sqref>
        </x14:conditionalFormatting>
        <x14:conditionalFormatting xmlns:xm="http://schemas.microsoft.com/office/excel/2006/main">
          <x14:cfRule type="expression" priority="54" id="{ABB9EC4B-8861-4ED2-9456-E822DD586F1B}">
            <xm:f>$D$296='Data lists'!$I$1</xm:f>
            <x14:dxf>
              <border>
                <left style="thin">
                  <color auto="1"/>
                </left>
                <right style="thin">
                  <color auto="1"/>
                </right>
                <top style="thin">
                  <color auto="1"/>
                </top>
                <bottom style="thin">
                  <color auto="1"/>
                </bottom>
                <vertical/>
                <horizontal/>
              </border>
            </x14:dxf>
          </x14:cfRule>
          <xm:sqref>F296 H296</xm:sqref>
        </x14:conditionalFormatting>
        <x14:conditionalFormatting xmlns:xm="http://schemas.microsoft.com/office/excel/2006/main">
          <x14:cfRule type="expression" priority="50" id="{829E19DF-4169-4B98-BDDF-520256692F56}">
            <xm:f>$D$302='Data lists'!$I$1</xm:f>
            <x14:dxf>
              <border>
                <left style="thin">
                  <color auto="1"/>
                </left>
                <right style="thin">
                  <color auto="1"/>
                </right>
                <top style="thin">
                  <color auto="1"/>
                </top>
                <bottom style="thin">
                  <color auto="1"/>
                </bottom>
                <vertical/>
                <horizontal/>
              </border>
            </x14:dxf>
          </x14:cfRule>
          <xm:sqref>F300 H300 B304 D304 B302 D302 B306 D306 H302</xm:sqref>
        </x14:conditionalFormatting>
        <x14:conditionalFormatting xmlns:xm="http://schemas.microsoft.com/office/excel/2006/main">
          <x14:cfRule type="expression" priority="43" id="{A58E8A22-6A0E-4C03-B6DE-2EA8E6CE5409}">
            <xm:f>$D$310='Data lists'!$I$1</xm:f>
            <x14:dxf>
              <border>
                <left style="thin">
                  <color auto="1"/>
                </left>
                <right style="thin">
                  <color auto="1"/>
                </right>
                <top style="thin">
                  <color auto="1"/>
                </top>
                <bottom style="thin">
                  <color auto="1"/>
                </bottom>
                <vertical/>
                <horizontal/>
              </border>
            </x14:dxf>
          </x14:cfRule>
          <xm:sqref>H310 B312 D312 F310</xm:sqref>
        </x14:conditionalFormatting>
        <x14:conditionalFormatting xmlns:xm="http://schemas.microsoft.com/office/excel/2006/main">
          <x14:cfRule type="expression" priority="38" id="{63831C49-DE82-49BA-99E4-7E18116E71CD}">
            <xm:f>$D$318='Data lists'!$I$1</xm:f>
            <x14:dxf>
              <border>
                <left style="thin">
                  <color auto="1"/>
                </left>
                <right style="thin">
                  <color auto="1"/>
                </right>
                <top style="thin">
                  <color auto="1"/>
                </top>
                <bottom style="thin">
                  <color auto="1"/>
                </bottom>
                <vertical/>
                <horizontal/>
              </border>
            </x14:dxf>
          </x14:cfRule>
          <xm:sqref>F318 H318 B320 D320</xm:sqref>
        </x14:conditionalFormatting>
        <x14:conditionalFormatting xmlns:xm="http://schemas.microsoft.com/office/excel/2006/main">
          <x14:cfRule type="expression" priority="37" id="{D074D5AE-F2DA-4837-830A-23512A96E971}">
            <xm:f>$D$302='Data lists'!$I$1</xm:f>
            <x14:dxf>
              <border>
                <left style="thin">
                  <color auto="1"/>
                </left>
                <right style="thin">
                  <color auto="1"/>
                </right>
                <top style="thin">
                  <color auto="1"/>
                </top>
                <bottom style="thin">
                  <color auto="1"/>
                </bottom>
                <vertical/>
                <horizontal/>
              </border>
            </x14:dxf>
          </x14:cfRule>
          <xm:sqref>F302</xm:sqref>
        </x14:conditionalFormatting>
        <x14:conditionalFormatting xmlns:xm="http://schemas.microsoft.com/office/excel/2006/main">
          <x14:cfRule type="expression" priority="35" id="{97BE6E7A-9586-4106-8693-21E22FB0FE57}">
            <xm:f>$D$282='Data lists'!$I$1</xm:f>
            <x14:dxf>
              <border>
                <left style="thin">
                  <color auto="1"/>
                </left>
                <right style="thin">
                  <color auto="1"/>
                </right>
                <top style="thin">
                  <color auto="1"/>
                </top>
                <bottom style="thin">
                  <color auto="1"/>
                </bottom>
                <vertical/>
                <horizontal/>
              </border>
            </x14:dxf>
          </x14:cfRule>
          <xm:sqref>F282 H282</xm:sqref>
        </x14:conditionalFormatting>
        <x14:conditionalFormatting xmlns:xm="http://schemas.microsoft.com/office/excel/2006/main">
          <x14:cfRule type="expression" priority="34" id="{E8F9D892-0B90-49CC-BD38-21086108063F}">
            <xm:f>$D$130='Data lists'!$I$1</xm:f>
            <x14:dxf>
              <border>
                <left style="thin">
                  <color auto="1"/>
                </left>
                <right style="thin">
                  <color auto="1"/>
                </right>
                <top style="thin">
                  <color auto="1"/>
                </top>
                <bottom style="thin">
                  <color auto="1"/>
                </bottom>
                <vertical/>
                <horizontal/>
              </border>
            </x14:dxf>
          </x14:cfRule>
          <xm:sqref>F130</xm:sqref>
        </x14:conditionalFormatting>
        <x14:conditionalFormatting xmlns:xm="http://schemas.microsoft.com/office/excel/2006/main">
          <x14:cfRule type="expression" priority="26" id="{980BFAA8-AA91-4DE7-AF80-7B3AA494C378}">
            <xm:f>$D$122='Data lists'!$I$1</xm:f>
            <x14:dxf>
              <border>
                <left style="thin">
                  <color auto="1"/>
                </left>
                <right style="thin">
                  <color auto="1"/>
                </right>
                <top style="thin">
                  <color auto="1"/>
                </top>
                <bottom style="thin">
                  <color auto="1"/>
                </bottom>
                <vertical/>
                <horizontal/>
              </border>
            </x14:dxf>
          </x14:cfRule>
          <xm:sqref>F122</xm:sqref>
        </x14:conditionalFormatting>
        <x14:conditionalFormatting xmlns:xm="http://schemas.microsoft.com/office/excel/2006/main">
          <x14:cfRule type="expression" priority="11" id="{C27566E7-5EFD-4CB9-968E-434145765AC3}">
            <xm:f>$D$74='Data lists'!$I$1</xm:f>
            <x14:dxf>
              <border>
                <left style="thin">
                  <color auto="1"/>
                </left>
                <right style="thin">
                  <color auto="1"/>
                </right>
                <top style="thin">
                  <color auto="1"/>
                </top>
                <bottom style="thin">
                  <color auto="1"/>
                </bottom>
                <vertical/>
                <horizontal/>
              </border>
            </x14:dxf>
          </x14:cfRule>
          <xm:sqref>F74 H74</xm:sqref>
        </x14:conditionalFormatting>
        <x14:conditionalFormatting xmlns:xm="http://schemas.microsoft.com/office/excel/2006/main">
          <x14:cfRule type="expression" priority="10" id="{FA92AF22-87AF-4DB5-967B-D15A153EC4F5}">
            <xm:f>$D$18='Data lists'!$I$1</xm:f>
            <x14:dxf>
              <fill>
                <patternFill>
                  <bgColor rgb="FF002060"/>
                </patternFill>
              </fill>
            </x14:dxf>
          </x14:cfRule>
          <xm:sqref>B324:D324</xm:sqref>
        </x14:conditionalFormatting>
        <x14:conditionalFormatting xmlns:xm="http://schemas.microsoft.com/office/excel/2006/main">
          <x14:cfRule type="expression" priority="9" id="{D50612E0-CF7B-441F-B3CA-D113B68DF626}">
            <xm:f>$D$18='Data lists'!$I$1</xm:f>
            <x14:dxf>
              <border>
                <left style="thin">
                  <color auto="1"/>
                </left>
                <right style="thin">
                  <color auto="1"/>
                </right>
                <top style="thin">
                  <color auto="1"/>
                </top>
                <bottom style="thin">
                  <color auto="1"/>
                </bottom>
                <vertical/>
                <horizontal/>
              </border>
            </x14:dxf>
          </x14:cfRule>
          <xm:sqref>B326 D326</xm:sqref>
        </x14:conditionalFormatting>
        <x14:conditionalFormatting xmlns:xm="http://schemas.microsoft.com/office/excel/2006/main">
          <x14:cfRule type="expression" priority="7" id="{B253E314-4307-4258-8809-6EC525FD44C8}">
            <xm:f>$D$22='Data lists'!$I$1</xm:f>
            <x14:dxf>
              <border>
                <left style="thin">
                  <color auto="1"/>
                </left>
                <right style="thin">
                  <color auto="1"/>
                </right>
                <top style="thin">
                  <color auto="1"/>
                </top>
                <bottom style="thin">
                  <color auto="1"/>
                </bottom>
                <vertical/>
                <horizontal/>
              </border>
            </x14:dxf>
          </x14:cfRule>
          <xm:sqref>D34</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436C9F4F-5D25-444E-BC22-D4AC52E1DBFA}">
          <x14:formula1>
            <xm:f>'Data lists'!$C$1:$C$2</xm:f>
          </x14:formula1>
          <xm:sqref>D170 D258 D40 D84 D16:D17 D12 D14 D19 D21 D24 D26 D28 D72 D30 D98:D101 H319:H320 D178 H311:H312 D246 D42 D48 D54 D66 D90 D62 H60 D64 D78 D112:D116 D165 D155:D157 D127:D129 D131:D133 D135:D136 D144 D105 D152 H246 D159:D161 D103 D167 D119:D121 D186 D316 D192 D278 D198 D308 D204 D264 D210 D300 D216 D32:D36 D222 D294 D228 D272 D234 D286 D242 D270 D174 D182 D238 D252 D163 D123 D125</xm:sqref>
        </x14:dataValidation>
        <x14:dataValidation type="list" allowBlank="1" showInputMessage="1" showErrorMessage="1" xr:uid="{54CA01B3-96F4-4BCD-8ECB-8E27F7D5F5BE}">
          <x14:formula1>
            <xm:f>'Data lists'!$I$1:$I$4</xm:f>
          </x14:formula1>
          <xm:sqref>H100 D109:D117 H124 D172 D22:D23 D18 D20 D180 D184:D185 D44 D46 D50 D52 D56 D58 D68 D70 D92 D80 D82 D86 D88 D76 D122 D126 D106:D107 H132 D130 D134 D94 H140 D138 D142 D322 H148 D146 D150 D318:D320 H156 D154 D158 D314 H164 D162 D166 H167 D176 D188 D190 D194 D196:D197 D200 D202:D203 D206 D208 D212 D214 D218 D220 D224 D226 D230 D232 D236 D240 D244 D248 D256 D262 D268 D274:D275 D282 D284:D285 D290 D292 D296 D298 D302 D306 D310:D312 D74</xm:sqref>
        </x14:dataValidation>
        <x14:dataValidation type="list" allowBlank="1" showInputMessage="1" showErrorMessage="1" xr:uid="{C876F03D-CBD3-4CED-95C8-41DCE68D76DD}">
          <x14:formula1>
            <xm:f>'Data lists'!$K$1:$K$4</xm:f>
          </x14:formula1>
          <xm:sqref>H44 H50 H56 H68 H92 H80 H86 H122 H130 H138 H146 H154 H162 H172 H180 H188 H194 H200 H206 H212 H218 H224 H230 H236 H244 H256 H268 H282 H290 H296 H302 H310 H318 H74 H116 H106</xm:sqref>
        </x14:dataValidation>
        <x14:dataValidation type="list" allowBlank="1" showInputMessage="1" showErrorMessage="1" xr:uid="{D3F36AE3-80E2-420D-9E7A-72046C4ED4BC}">
          <x14:formula1>
            <xm:f>'Data lists'!$R$1:$R$2</xm:f>
          </x14:formula1>
          <xm:sqref>D304</xm:sqref>
        </x14:dataValidation>
        <x14:dataValidation type="list" allowBlank="1" showInputMessage="1" showErrorMessage="1" xr:uid="{CEF2E2A7-DBDD-46A3-8433-111E23EC5A6D}">
          <x14:formula1>
            <xm:f>'Data lists'!$S$1:$S$4</xm:f>
          </x14:formula1>
          <xm:sqref>D260</xm:sqref>
        </x14:dataValidation>
        <x14:dataValidation type="list" allowBlank="1" showInputMessage="1" showErrorMessage="1" xr:uid="{B1030817-7C47-492C-B10F-1EF107672CEA}">
          <x14:formula1>
            <xm:f>'Data lists'!$T$1:$T$2</xm:f>
          </x14:formula1>
          <xm:sqref>D326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00092-E442-42AE-8CE3-94C9F848F531}">
  <sheetPr>
    <tabColor theme="8" tint="0.39997558519241921"/>
  </sheetPr>
  <dimension ref="A1:I215"/>
  <sheetViews>
    <sheetView showGridLines="0" workbookViewId="0">
      <pane xSplit="1" ySplit="9" topLeftCell="B10" activePane="bottomRight" state="frozen"/>
      <selection pane="topRight" activeCell="G12" sqref="G12"/>
      <selection pane="bottomLeft" activeCell="G12" sqref="G12"/>
      <selection pane="bottomRight" activeCell="D6" sqref="D6"/>
    </sheetView>
  </sheetViews>
  <sheetFormatPr defaultColWidth="8.7265625" defaultRowHeight="15.5" x14ac:dyDescent="0.35"/>
  <cols>
    <col min="1" max="1" width="3.54296875" style="33" customWidth="1"/>
    <col min="2" max="2" width="40.54296875" style="33" customWidth="1"/>
    <col min="3" max="3" width="3.54296875" style="33" customWidth="1"/>
    <col min="4" max="4" width="40.54296875" style="33" customWidth="1"/>
    <col min="5" max="5" width="3.54296875" style="33" customWidth="1"/>
    <col min="6" max="6" width="40.54296875" style="33" customWidth="1"/>
    <col min="7" max="7" width="3.54296875" style="33" customWidth="1"/>
    <col min="8" max="8" width="40.54296875" style="33" customWidth="1"/>
    <col min="9" max="9" width="20.7265625" style="33" customWidth="1"/>
    <col min="10" max="10" width="20.54296875" style="33" customWidth="1"/>
    <col min="11" max="16384" width="8.7265625" style="33"/>
  </cols>
  <sheetData>
    <row r="1" spans="2:9" ht="16" thickBot="1" x14ac:dyDescent="0.4">
      <c r="B1" s="27"/>
    </row>
    <row r="2" spans="2:9" ht="16" thickBot="1" x14ac:dyDescent="0.4">
      <c r="B2" s="187" t="s">
        <v>10</v>
      </c>
      <c r="C2" s="188"/>
      <c r="D2" s="189"/>
      <c r="F2" s="179" t="s">
        <v>11</v>
      </c>
      <c r="G2" s="180"/>
      <c r="H2" s="180"/>
      <c r="I2" s="181"/>
    </row>
    <row r="3" spans="2:9" x14ac:dyDescent="0.35">
      <c r="B3" s="27"/>
      <c r="F3" s="165"/>
      <c r="G3" s="166"/>
      <c r="H3" s="166"/>
      <c r="I3" s="167"/>
    </row>
    <row r="4" spans="2:9" x14ac:dyDescent="0.35">
      <c r="B4" s="29" t="s">
        <v>12</v>
      </c>
      <c r="D4" s="34" t="str">
        <f>IF('Building Description'!D4="","",'Building Description'!D4)</f>
        <v/>
      </c>
      <c r="F4" s="165"/>
      <c r="G4" s="166"/>
      <c r="H4" s="166"/>
      <c r="I4" s="167"/>
    </row>
    <row r="5" spans="2:9" x14ac:dyDescent="0.35">
      <c r="B5" s="27"/>
      <c r="F5" s="165"/>
      <c r="G5" s="166"/>
      <c r="H5" s="166"/>
      <c r="I5" s="167"/>
    </row>
    <row r="6" spans="2:9" x14ac:dyDescent="0.35">
      <c r="B6" s="29" t="s">
        <v>13</v>
      </c>
      <c r="D6" s="34" t="str">
        <f>IF('Building Description'!D6="","",'Building Description'!D6)</f>
        <v/>
      </c>
      <c r="F6" s="165"/>
      <c r="G6" s="166"/>
      <c r="H6" s="166"/>
      <c r="I6" s="167"/>
    </row>
    <row r="7" spans="2:9" x14ac:dyDescent="0.35">
      <c r="B7" s="27"/>
      <c r="F7" s="165"/>
      <c r="G7" s="166"/>
      <c r="H7" s="166"/>
      <c r="I7" s="167"/>
    </row>
    <row r="8" spans="2:9" x14ac:dyDescent="0.35">
      <c r="B8" s="29" t="s">
        <v>14</v>
      </c>
      <c r="D8" s="34" t="str">
        <f>IF('Building Description'!D8="","",'Building Description'!D8)</f>
        <v/>
      </c>
      <c r="F8" s="165"/>
      <c r="G8" s="166"/>
      <c r="H8" s="166"/>
      <c r="I8" s="167"/>
    </row>
    <row r="9" spans="2:9" ht="16" thickBot="1" x14ac:dyDescent="0.4">
      <c r="B9" s="27"/>
      <c r="F9" s="168"/>
      <c r="G9" s="169"/>
      <c r="H9" s="169"/>
      <c r="I9" s="170"/>
    </row>
    <row r="10" spans="2:9" x14ac:dyDescent="0.35">
      <c r="B10" s="190" t="s">
        <v>95</v>
      </c>
      <c r="C10" s="190"/>
      <c r="D10" s="190"/>
    </row>
    <row r="12" spans="2:9" x14ac:dyDescent="0.35">
      <c r="B12" s="41" t="s">
        <v>96</v>
      </c>
      <c r="D12" s="81"/>
      <c r="F12" s="33" t="str">
        <f>IF(D12='Data lists'!I1,"Go to row 30","")</f>
        <v/>
      </c>
    </row>
    <row r="14" spans="2:9" x14ac:dyDescent="0.35">
      <c r="B14" s="41" t="s">
        <v>97</v>
      </c>
      <c r="D14" s="81"/>
      <c r="F14" s="35" t="str">
        <f>IF(D14="Y","Tasks to be included","")</f>
        <v/>
      </c>
      <c r="H14" s="82"/>
    </row>
    <row r="16" spans="2:9" x14ac:dyDescent="0.35">
      <c r="B16" s="41" t="s">
        <v>98</v>
      </c>
      <c r="D16" s="81"/>
      <c r="F16" s="35" t="str">
        <f>IF(D16="Y","Tasks to be included","")</f>
        <v/>
      </c>
      <c r="H16" s="82"/>
    </row>
    <row r="18" spans="2:8" x14ac:dyDescent="0.35">
      <c r="B18" s="41" t="s">
        <v>99</v>
      </c>
      <c r="D18" s="81"/>
      <c r="F18" s="33" t="str">
        <f>IF(D18='Data lists'!I1,"Go to row 106","")</f>
        <v/>
      </c>
    </row>
    <row r="20" spans="2:8" ht="31" x14ac:dyDescent="0.35">
      <c r="B20" s="41" t="s">
        <v>100</v>
      </c>
      <c r="D20" s="81"/>
      <c r="F20" s="33" t="str">
        <f>IF(D20='Data lists'!I1,"Go to row 86","")</f>
        <v/>
      </c>
    </row>
    <row r="22" spans="2:8" ht="31" x14ac:dyDescent="0.35">
      <c r="B22" s="41" t="s">
        <v>101</v>
      </c>
      <c r="D22" s="81"/>
      <c r="F22" s="33" t="str">
        <f>IF(D22='Data lists'!I1,"Go to row 96","")</f>
        <v/>
      </c>
    </row>
    <row r="23" spans="2:8" x14ac:dyDescent="0.35">
      <c r="B23" s="80"/>
      <c r="D23" s="80"/>
    </row>
    <row r="24" spans="2:8" x14ac:dyDescent="0.35">
      <c r="B24" s="41" t="s">
        <v>102</v>
      </c>
      <c r="D24" s="81"/>
      <c r="F24" s="33" t="str">
        <f>IF(D24="Y","Detail","")</f>
        <v/>
      </c>
      <c r="H24" s="82"/>
    </row>
    <row r="26" spans="2:8" x14ac:dyDescent="0.35">
      <c r="B26" s="41" t="s">
        <v>103</v>
      </c>
      <c r="D26" s="81"/>
      <c r="F26" s="33" t="str">
        <f>IF(D26='Data lists'!I1,"Go to row 186","")</f>
        <v/>
      </c>
    </row>
    <row r="28" spans="2:8" x14ac:dyDescent="0.35">
      <c r="B28" s="41" t="s">
        <v>104</v>
      </c>
      <c r="D28" s="81"/>
      <c r="F28" s="33" t="str">
        <f>IF(D28="Y","Go to row 192","")</f>
        <v/>
      </c>
    </row>
    <row r="30" spans="2:8" x14ac:dyDescent="0.35">
      <c r="B30" s="185" t="str">
        <f>IF(D12='Data lists'!I1,"General cleaning","")</f>
        <v/>
      </c>
      <c r="C30" s="185"/>
      <c r="D30" s="185"/>
    </row>
    <row r="32" spans="2:8" x14ac:dyDescent="0.35">
      <c r="B32" s="24" t="str">
        <f>IF(D12='Data lists'!I1,"In hours routine cleaning required","")</f>
        <v/>
      </c>
      <c r="C32" s="25"/>
      <c r="D32" s="83"/>
      <c r="E32" s="24"/>
    </row>
    <row r="33" spans="2:8" x14ac:dyDescent="0.35">
      <c r="B33" s="24"/>
      <c r="C33" s="25"/>
      <c r="D33" s="24"/>
      <c r="E33" s="24"/>
      <c r="F33" s="24"/>
    </row>
    <row r="34" spans="2:8" x14ac:dyDescent="0.35">
      <c r="B34" s="24" t="str">
        <f>IF(D12='Data lists'!I1,"Out of hours routine cleaning required","")</f>
        <v/>
      </c>
      <c r="C34" s="25"/>
      <c r="D34" s="83"/>
      <c r="E34" s="24"/>
      <c r="F34" s="24" t="str">
        <f>IF(D34="Y","How cleaner is to access site","")</f>
        <v/>
      </c>
      <c r="H34" s="82"/>
    </row>
    <row r="35" spans="2:8" x14ac:dyDescent="0.35">
      <c r="B35" s="24"/>
      <c r="C35" s="25"/>
      <c r="D35" s="35"/>
      <c r="E35" s="35"/>
      <c r="F35" s="35"/>
      <c r="G35" s="36"/>
    </row>
    <row r="36" spans="2:8" x14ac:dyDescent="0.35">
      <c r="B36" s="24" t="str">
        <f>IF(D12='Data lists'!I1,"Reactive cleaning (in normal operational hours)","")</f>
        <v/>
      </c>
      <c r="C36" s="25"/>
      <c r="D36" s="79"/>
      <c r="E36" s="35"/>
      <c r="G36" s="36"/>
    </row>
    <row r="37" spans="2:8" x14ac:dyDescent="0.35">
      <c r="B37" s="24"/>
      <c r="C37" s="25"/>
      <c r="D37" s="24"/>
      <c r="E37" s="24"/>
      <c r="F37" s="24"/>
      <c r="G37" s="36"/>
    </row>
    <row r="38" spans="2:8" x14ac:dyDescent="0.35">
      <c r="B38" s="24" t="str">
        <f>IF(D12='Data lists'!I1,"Reactive cleaning (outside cleaning operational hours)","")</f>
        <v/>
      </c>
      <c r="C38" s="25"/>
      <c r="D38" s="83"/>
      <c r="E38" s="24"/>
      <c r="F38" s="24" t="str">
        <f>IF(D38="Y","How cleaner is to access site","")</f>
        <v/>
      </c>
      <c r="G38" s="36"/>
      <c r="H38" s="82"/>
    </row>
    <row r="39" spans="2:8" x14ac:dyDescent="0.35">
      <c r="B39" s="24"/>
      <c r="C39" s="25"/>
      <c r="D39" s="24"/>
      <c r="E39" s="24"/>
      <c r="F39" s="24"/>
      <c r="G39" s="36"/>
    </row>
    <row r="40" spans="2:8" x14ac:dyDescent="0.35">
      <c r="B40" s="24" t="str">
        <f>IF(D12='Data lists'!I1,"Hazardous Cleaning","")</f>
        <v/>
      </c>
      <c r="C40" s="25"/>
      <c r="D40" s="83"/>
      <c r="E40" s="24"/>
      <c r="F40" s="24" t="str">
        <f>IF(D40="Y","Details","")</f>
        <v/>
      </c>
      <c r="G40" s="36"/>
      <c r="H40" s="82"/>
    </row>
    <row r="41" spans="2:8" x14ac:dyDescent="0.35">
      <c r="B41" s="24"/>
      <c r="C41" s="25"/>
      <c r="D41" s="24"/>
      <c r="E41" s="24"/>
      <c r="F41" s="24"/>
      <c r="G41" s="36"/>
    </row>
    <row r="42" spans="2:8" x14ac:dyDescent="0.35">
      <c r="B42" s="24" t="str">
        <f>IF(D12='Data lists'!I1,"Infection control/ Touchpoint cleaning","")</f>
        <v/>
      </c>
      <c r="C42" s="25"/>
      <c r="D42" s="83"/>
      <c r="E42" s="24"/>
      <c r="F42" s="24" t="str">
        <f>IF(D42="Y","Detail","")</f>
        <v/>
      </c>
      <c r="G42" s="36"/>
      <c r="H42" s="82"/>
    </row>
    <row r="43" spans="2:8" x14ac:dyDescent="0.35">
      <c r="B43" s="24"/>
      <c r="C43" s="25"/>
      <c r="D43" s="24"/>
      <c r="E43" s="24"/>
      <c r="F43" s="24"/>
      <c r="G43" s="36"/>
    </row>
    <row r="44" spans="2:8" x14ac:dyDescent="0.35">
      <c r="B44" s="24" t="str">
        <f>IF(D12='Data lists'!I1,"Prestige level cleaning areas","")</f>
        <v/>
      </c>
      <c r="C44" s="25"/>
      <c r="D44" s="83"/>
      <c r="E44" s="24"/>
      <c r="F44" s="24" t="str">
        <f>IF(D44="Y","Frequency and type","")</f>
        <v/>
      </c>
      <c r="G44" s="36"/>
      <c r="H44" s="82"/>
    </row>
    <row r="45" spans="2:8" x14ac:dyDescent="0.35">
      <c r="B45" s="24"/>
      <c r="C45" s="25"/>
      <c r="D45" s="24"/>
      <c r="E45" s="24"/>
      <c r="F45" s="24"/>
      <c r="G45" s="36"/>
    </row>
    <row r="46" spans="2:8" x14ac:dyDescent="0.35">
      <c r="B46" s="24" t="str">
        <f>IF(D12='Data lists'!I1,"Deep (periodic) cleaning","")</f>
        <v/>
      </c>
      <c r="C46" s="25"/>
      <c r="D46" s="79"/>
      <c r="E46" s="35"/>
      <c r="F46" s="35" t="str">
        <f>IF(D46="Y","Areas excluded / included","")</f>
        <v/>
      </c>
      <c r="G46" s="36"/>
      <c r="H46" s="82"/>
    </row>
    <row r="47" spans="2:8" x14ac:dyDescent="0.35">
      <c r="B47" s="24"/>
      <c r="C47" s="25"/>
      <c r="D47" s="35"/>
      <c r="E47" s="35"/>
      <c r="F47" s="35"/>
      <c r="G47" s="36"/>
    </row>
    <row r="48" spans="2:8" x14ac:dyDescent="0.35">
      <c r="B48" s="35" t="str">
        <f>IF(D46="Y","Type (upolstry, carpets)","")</f>
        <v/>
      </c>
      <c r="C48" s="25"/>
      <c r="D48" s="79"/>
      <c r="E48" s="35"/>
      <c r="F48" s="35"/>
      <c r="G48" s="36"/>
    </row>
    <row r="49" spans="2:8" x14ac:dyDescent="0.35">
      <c r="B49" s="24"/>
      <c r="C49" s="25"/>
      <c r="D49" s="35"/>
      <c r="E49" s="35"/>
      <c r="F49" s="35"/>
      <c r="G49" s="36"/>
    </row>
    <row r="50" spans="2:8" x14ac:dyDescent="0.35">
      <c r="B50" s="24" t="str">
        <f>IF(D12='Data lists'!I1,"Cleaning of waste storage areas","")</f>
        <v/>
      </c>
      <c r="C50" s="25"/>
      <c r="D50" s="95"/>
      <c r="E50" s="35"/>
      <c r="F50" s="35" t="str">
        <f>IF(D50="Y","Location","")</f>
        <v/>
      </c>
      <c r="G50" s="36"/>
      <c r="H50" s="82"/>
    </row>
    <row r="51" spans="2:8" x14ac:dyDescent="0.35">
      <c r="B51" s="24"/>
      <c r="C51" s="25"/>
      <c r="D51" s="35"/>
      <c r="E51" s="35"/>
      <c r="F51" s="35"/>
      <c r="G51" s="36"/>
    </row>
    <row r="52" spans="2:8" x14ac:dyDescent="0.35">
      <c r="B52" s="24" t="str">
        <f>IF(D12='Data lists'!I1,"Environmental cleaning","")</f>
        <v/>
      </c>
      <c r="C52" s="25"/>
      <c r="D52" s="79"/>
      <c r="E52" s="35"/>
      <c r="F52" s="35" t="str">
        <f>IF(D52="Y","Details","")</f>
        <v/>
      </c>
      <c r="G52" s="36"/>
      <c r="H52" s="82"/>
    </row>
    <row r="53" spans="2:8" x14ac:dyDescent="0.35">
      <c r="B53" s="24"/>
      <c r="C53" s="25"/>
      <c r="D53" s="35"/>
      <c r="E53" s="35"/>
      <c r="F53" s="35"/>
      <c r="G53" s="36"/>
    </row>
    <row r="54" spans="2:8" x14ac:dyDescent="0.35">
      <c r="B54" s="185" t="str">
        <f>IF(D12='Data lists'!I1,"Specialist cleaning","")</f>
        <v/>
      </c>
      <c r="C54" s="185"/>
      <c r="D54" s="185"/>
      <c r="E54" s="36"/>
      <c r="F54" s="36"/>
      <c r="G54" s="36"/>
    </row>
    <row r="55" spans="2:8" s="35" customFormat="1" x14ac:dyDescent="0.35">
      <c r="B55" s="24"/>
      <c r="C55" s="25"/>
    </row>
    <row r="56" spans="2:8" s="35" customFormat="1" x14ac:dyDescent="0.35">
      <c r="B56" s="24" t="str">
        <f>IF(D12='Data lists'!I1,"Test hall cleaning","")</f>
        <v/>
      </c>
      <c r="C56" s="25"/>
      <c r="D56" s="83"/>
      <c r="F56" s="35" t="str">
        <f>IF(D56="Y","Frequency","")</f>
        <v/>
      </c>
      <c r="H56" s="79"/>
    </row>
    <row r="57" spans="2:8" s="35" customFormat="1" x14ac:dyDescent="0.35">
      <c r="B57" s="24"/>
      <c r="C57" s="25"/>
    </row>
    <row r="58" spans="2:8" s="35" customFormat="1" x14ac:dyDescent="0.35">
      <c r="B58" s="24" t="str">
        <f>IF(D56="Y","Test Hall Safety requirements","")</f>
        <v/>
      </c>
      <c r="C58" s="25"/>
      <c r="D58" s="79"/>
      <c r="F58" s="35" t="str">
        <f>IF(D56="Y","Access requirements","")</f>
        <v/>
      </c>
      <c r="H58" s="79"/>
    </row>
    <row r="59" spans="2:8" s="35" customFormat="1" x14ac:dyDescent="0.35">
      <c r="B59" s="24"/>
      <c r="C59" s="25"/>
    </row>
    <row r="60" spans="2:8" s="35" customFormat="1" x14ac:dyDescent="0.35">
      <c r="B60" s="24" t="str">
        <f>IF(D12='Data lists'!I1,"IT equipment cleaning","")</f>
        <v/>
      </c>
      <c r="C60" s="25"/>
      <c r="D60" s="83"/>
      <c r="F60" s="35" t="str">
        <f>IF(D60="Y","Detail","")</f>
        <v/>
      </c>
      <c r="H60" s="79"/>
    </row>
    <row r="61" spans="2:8" s="35" customFormat="1" x14ac:dyDescent="0.35">
      <c r="B61" s="24"/>
      <c r="C61" s="25"/>
    </row>
    <row r="62" spans="2:8" s="35" customFormat="1" x14ac:dyDescent="0.35">
      <c r="B62" s="24" t="str">
        <f>IF(D12='Data lists'!I1,"Specialist cleaning","")</f>
        <v/>
      </c>
      <c r="C62" s="25"/>
      <c r="D62" s="83"/>
      <c r="F62" s="35" t="str">
        <f>IF(D62="Y","Detail","")</f>
        <v/>
      </c>
      <c r="H62" s="79"/>
    </row>
    <row r="63" spans="2:8" s="35" customFormat="1" x14ac:dyDescent="0.35">
      <c r="B63" s="24"/>
      <c r="C63" s="25"/>
    </row>
    <row r="64" spans="2:8" s="35" customFormat="1" x14ac:dyDescent="0.35">
      <c r="B64" s="24" t="str">
        <f>IF(D12='Data lists'!I1,"Cleaning of curtains and window blinds","")</f>
        <v/>
      </c>
      <c r="C64" s="25"/>
      <c r="D64" s="83"/>
      <c r="F64" s="35" t="str">
        <f>IF(D64="Y","Detail locations, numbers and sizes","")</f>
        <v/>
      </c>
      <c r="H64" s="79"/>
    </row>
    <row r="65" spans="2:8" s="35" customFormat="1" x14ac:dyDescent="0.35">
      <c r="B65" s="24"/>
      <c r="C65" s="25"/>
    </row>
    <row r="66" spans="2:8" s="35" customFormat="1" x14ac:dyDescent="0.35">
      <c r="B66" s="24" t="str">
        <f>IF(D12='Data lists'!I1,"Medical and clinical cleaning","")</f>
        <v/>
      </c>
      <c r="C66" s="25"/>
      <c r="D66" s="83"/>
      <c r="F66" s="35" t="str">
        <f>IF(D66="Y","Detail","")</f>
        <v/>
      </c>
      <c r="H66" s="79"/>
    </row>
    <row r="67" spans="2:8" s="35" customFormat="1" x14ac:dyDescent="0.35"/>
    <row r="68" spans="2:8" s="35" customFormat="1" x14ac:dyDescent="0.35">
      <c r="B68" s="24" t="str">
        <f>IF(D12='Data lists'!I1,"Linen and laundry Services","")</f>
        <v/>
      </c>
      <c r="C68" s="25"/>
      <c r="D68" s="83"/>
      <c r="F68" s="35" t="str">
        <f>IF(D68="Y","Detail","")</f>
        <v/>
      </c>
      <c r="H68" s="79"/>
    </row>
    <row r="69" spans="2:8" s="35" customFormat="1" x14ac:dyDescent="0.35">
      <c r="B69" s="24"/>
      <c r="C69" s="25"/>
    </row>
    <row r="70" spans="2:8" s="35" customFormat="1" x14ac:dyDescent="0.35">
      <c r="B70" s="24" t="str">
        <f>IF(D12='Data lists'!I1,"Hotel Services","")</f>
        <v/>
      </c>
      <c r="C70" s="25"/>
      <c r="D70" s="83"/>
      <c r="F70" s="35" t="str">
        <f>IF(D70="Y","Detail","")</f>
        <v/>
      </c>
      <c r="H70" s="79"/>
    </row>
    <row r="71" spans="2:8" s="35" customFormat="1" x14ac:dyDescent="0.35">
      <c r="B71" s="24"/>
      <c r="C71" s="25"/>
    </row>
    <row r="72" spans="2:8" s="35" customFormat="1" x14ac:dyDescent="0.35">
      <c r="B72" s="24" t="str">
        <f>IF(D12='Data lists'!I1,"Sport / Leisure facilities cleaning","")</f>
        <v/>
      </c>
      <c r="C72" s="25"/>
      <c r="D72" s="83"/>
      <c r="F72" s="35" t="str">
        <f>IF(D72="Y","Detail","")</f>
        <v/>
      </c>
      <c r="H72" s="79"/>
    </row>
    <row r="73" spans="2:8" s="35" customFormat="1" x14ac:dyDescent="0.35">
      <c r="B73" s="24"/>
      <c r="C73" s="25"/>
    </row>
    <row r="74" spans="2:8" x14ac:dyDescent="0.35">
      <c r="B74" s="185" t="str">
        <f>IF(D12='Data lists'!I1,"Cleaning Equipment","")</f>
        <v/>
      </c>
      <c r="C74" s="185"/>
      <c r="D74" s="185"/>
      <c r="E74" s="36"/>
      <c r="F74" s="36"/>
      <c r="G74" s="36"/>
    </row>
    <row r="75" spans="2:8" x14ac:dyDescent="0.35">
      <c r="B75" s="42"/>
      <c r="C75" s="42"/>
      <c r="D75" s="42"/>
      <c r="E75" s="36"/>
      <c r="F75" s="36"/>
      <c r="G75" s="36"/>
    </row>
    <row r="76" spans="2:8" s="35" customFormat="1" x14ac:dyDescent="0.35">
      <c r="B76" s="35" t="str">
        <f>IF(D12='Data lists'!I1,"Additional cleaning materials required","")</f>
        <v/>
      </c>
      <c r="C76" s="25"/>
      <c r="D76" s="83"/>
      <c r="E76" s="24"/>
      <c r="F76" s="24" t="str">
        <f>IF(D76="Y","Details","")</f>
        <v/>
      </c>
      <c r="H76" s="79"/>
    </row>
    <row r="77" spans="2:8" s="35" customFormat="1" x14ac:dyDescent="0.35">
      <c r="C77" s="25"/>
      <c r="D77" s="24"/>
      <c r="E77" s="24"/>
      <c r="F77" s="24"/>
    </row>
    <row r="78" spans="2:8" s="35" customFormat="1" x14ac:dyDescent="0.35">
      <c r="B78" s="35" t="str">
        <f>IF(D12='Data lists'!I1,"Location of storage for cleaning materials","")</f>
        <v/>
      </c>
      <c r="C78" s="25"/>
      <c r="D78" s="83"/>
      <c r="E78" s="24"/>
      <c r="F78" s="24"/>
    </row>
    <row r="79" spans="2:8" s="35" customFormat="1" x14ac:dyDescent="0.35">
      <c r="C79" s="25"/>
      <c r="D79" s="24"/>
      <c r="E79" s="24"/>
      <c r="F79" s="24"/>
    </row>
    <row r="80" spans="2:8" s="35" customFormat="1" x14ac:dyDescent="0.35">
      <c r="B80" s="24" t="str">
        <f>IF(D12='Data lists'!I1,"Barrier mats","")</f>
        <v/>
      </c>
      <c r="C80" s="25"/>
      <c r="D80" s="79"/>
      <c r="F80" s="35" t="str">
        <f>IF(D80="Y","Number, size and location","")</f>
        <v/>
      </c>
      <c r="H80" s="79"/>
    </row>
    <row r="81" spans="2:8" s="35" customFormat="1" x14ac:dyDescent="0.35">
      <c r="B81" s="24"/>
      <c r="C81" s="25"/>
    </row>
    <row r="82" spans="2:8" s="35" customFormat="1" x14ac:dyDescent="0.35">
      <c r="B82" s="24" t="str">
        <f>IF(D12='Data lists'!I1,"Electronic hand sanitiser maintenance / servicing","")</f>
        <v/>
      </c>
      <c r="C82" s="25"/>
      <c r="D82" s="79"/>
      <c r="F82" s="35" t="str">
        <f>IF(D82="Y","Number, size and location","")</f>
        <v/>
      </c>
      <c r="H82" s="79"/>
    </row>
    <row r="83" spans="2:8" s="35" customFormat="1" x14ac:dyDescent="0.35">
      <c r="B83" s="24"/>
      <c r="C83" s="25"/>
    </row>
    <row r="84" spans="2:8" s="35" customFormat="1" x14ac:dyDescent="0.35">
      <c r="B84" s="24" t="str">
        <f>IF(D12='Data lists'!I1,"Electronic air fresheners","")</f>
        <v/>
      </c>
      <c r="C84" s="25"/>
      <c r="D84" s="79"/>
      <c r="F84" s="35" t="str">
        <f>IF(D84="Y","Number, size and location","")</f>
        <v/>
      </c>
      <c r="H84" s="79"/>
    </row>
    <row r="85" spans="2:8" s="35" customFormat="1" x14ac:dyDescent="0.35">
      <c r="B85" s="24"/>
      <c r="C85" s="25"/>
    </row>
    <row r="86" spans="2:8" x14ac:dyDescent="0.35">
      <c r="B86" s="191" t="str">
        <f>IF(D20='Data lists'!I1,"Internal Window Cleaning","")</f>
        <v/>
      </c>
      <c r="C86" s="191"/>
      <c r="D86" s="191"/>
      <c r="E86" s="36"/>
      <c r="F86" s="36"/>
      <c r="G86" s="36"/>
    </row>
    <row r="87" spans="2:8" s="35" customFormat="1" x14ac:dyDescent="0.35">
      <c r="B87" s="24"/>
      <c r="C87" s="25"/>
    </row>
    <row r="88" spans="2:8" s="35" customFormat="1" x14ac:dyDescent="0.35">
      <c r="B88" s="35" t="str">
        <f>IF(D20='Data lists'!I1,"Frequency","")</f>
        <v/>
      </c>
      <c r="D88" s="79"/>
    </row>
    <row r="89" spans="2:8" s="35" customFormat="1" x14ac:dyDescent="0.35">
      <c r="B89" s="24"/>
      <c r="C89" s="25"/>
    </row>
    <row r="90" spans="2:8" s="35" customFormat="1" x14ac:dyDescent="0.35">
      <c r="B90" s="35" t="str">
        <f>IF(D20='Data lists'!I1,"Number of windows","")</f>
        <v/>
      </c>
      <c r="C90" s="25"/>
      <c r="D90" s="79"/>
      <c r="F90" s="35" t="str">
        <f>IF(D20='Data lists'!I1,"Size of Windows","")</f>
        <v/>
      </c>
      <c r="H90" s="79"/>
    </row>
    <row r="91" spans="2:8" s="35" customFormat="1" x14ac:dyDescent="0.35">
      <c r="B91" s="24"/>
      <c r="C91" s="25"/>
    </row>
    <row r="92" spans="2:8" s="35" customFormat="1" x14ac:dyDescent="0.35">
      <c r="B92" s="24" t="str">
        <f>IF(D20='Data lists'!I1,"Is any access equipment needed to clean high windows","")</f>
        <v/>
      </c>
      <c r="C92" s="25"/>
      <c r="D92" s="79"/>
      <c r="F92" s="43" t="str">
        <f>IF(D20='Data lists'!I1,"Does cleaning need to be conducted out of hours","")</f>
        <v/>
      </c>
      <c r="H92" s="79"/>
    </row>
    <row r="93" spans="2:8" s="35" customFormat="1" x14ac:dyDescent="0.35"/>
    <row r="94" spans="2:8" s="35" customFormat="1" x14ac:dyDescent="0.35">
      <c r="B94" s="35" t="str">
        <f>IF(D20='Data lists'!I1,"Do any windows have sun-film","")</f>
        <v/>
      </c>
      <c r="D94" s="79"/>
    </row>
    <row r="95" spans="2:8" s="35" customFormat="1" x14ac:dyDescent="0.35">
      <c r="B95" s="24"/>
      <c r="C95" s="25"/>
    </row>
    <row r="96" spans="2:8" s="35" customFormat="1" x14ac:dyDescent="0.35">
      <c r="B96" s="185" t="str">
        <f>IF(D22='Data lists'!I1,"Exteranal Window Cleaning","")</f>
        <v/>
      </c>
      <c r="C96" s="185"/>
      <c r="D96" s="185"/>
    </row>
    <row r="97" spans="2:8" s="35" customFormat="1" x14ac:dyDescent="0.35">
      <c r="B97" s="24"/>
      <c r="C97" s="25"/>
    </row>
    <row r="98" spans="2:8" s="35" customFormat="1" x14ac:dyDescent="0.35">
      <c r="B98" s="35" t="str">
        <f>IF(D22='Data lists'!I1,"Frequency","")</f>
        <v/>
      </c>
      <c r="C98" s="25"/>
      <c r="D98" s="79"/>
    </row>
    <row r="99" spans="2:8" s="35" customFormat="1" x14ac:dyDescent="0.35">
      <c r="B99" s="24"/>
      <c r="C99" s="25"/>
    </row>
    <row r="100" spans="2:8" s="35" customFormat="1" x14ac:dyDescent="0.35">
      <c r="B100" s="35" t="str">
        <f>IF(D22='Data lists'!I1,"Number of windows","")</f>
        <v/>
      </c>
      <c r="C100" s="25"/>
      <c r="D100" s="79"/>
      <c r="F100" s="35" t="str">
        <f>IF(D22='Data lists'!I1,"Size of Windows","")</f>
        <v/>
      </c>
      <c r="H100" s="79"/>
    </row>
    <row r="101" spans="2:8" s="35" customFormat="1" x14ac:dyDescent="0.35">
      <c r="B101" s="24"/>
      <c r="C101" s="25"/>
    </row>
    <row r="102" spans="2:8" s="35" customFormat="1" x14ac:dyDescent="0.35">
      <c r="B102" s="24" t="str">
        <f>IF(D22='Data lists'!I1,"Is any access equipment needed to clean high windows","")</f>
        <v/>
      </c>
      <c r="C102" s="25"/>
      <c r="D102" s="79"/>
      <c r="F102" s="43" t="str">
        <f>IF(D22='Data lists'!I1,"Does cleaning need to be conducted out of hours","")</f>
        <v/>
      </c>
      <c r="H102" s="79"/>
    </row>
    <row r="103" spans="2:8" s="35" customFormat="1" x14ac:dyDescent="0.35"/>
    <row r="104" spans="2:8" s="35" customFormat="1" x14ac:dyDescent="0.35">
      <c r="B104" s="43" t="str">
        <f>IF(D22='Data lists'!I1,"Do pathways or roads require closure inorder to errect scaffolding","")</f>
        <v/>
      </c>
      <c r="D104" s="79"/>
    </row>
    <row r="105" spans="2:8" s="35" customFormat="1" x14ac:dyDescent="0.35"/>
    <row r="106" spans="2:8" x14ac:dyDescent="0.35">
      <c r="B106" s="185" t="str">
        <f>IF(D18='Data lists'!I1,"Facilities Management Services","")</f>
        <v/>
      </c>
      <c r="C106" s="185"/>
      <c r="D106" s="185"/>
      <c r="E106" s="36"/>
      <c r="F106" s="36"/>
      <c r="G106" s="36"/>
    </row>
    <row r="107" spans="2:8" s="37" customFormat="1" x14ac:dyDescent="0.35"/>
    <row r="108" spans="2:8" s="37" customFormat="1" x14ac:dyDescent="0.35">
      <c r="B108" s="38" t="str">
        <f>IF(D18='Data lists'!I1,"Concierge Services","")</f>
        <v/>
      </c>
      <c r="D108" s="84"/>
      <c r="F108" s="37" t="str">
        <f>IF(D108="Y","Details","")</f>
        <v/>
      </c>
      <c r="H108" s="84"/>
    </row>
    <row r="109" spans="2:8" s="37" customFormat="1" x14ac:dyDescent="0.35"/>
    <row r="110" spans="2:8" s="37" customFormat="1" x14ac:dyDescent="0.35">
      <c r="B110" s="37" t="str">
        <f>IF(D18='Data lists'!I1,"Reception services","")</f>
        <v/>
      </c>
      <c r="D110" s="84"/>
      <c r="F110" s="37" t="str">
        <f>IF(D110="Y","Hours of operation","")</f>
        <v/>
      </c>
      <c r="H110" s="84"/>
    </row>
    <row r="111" spans="2:8" s="37" customFormat="1" x14ac:dyDescent="0.35"/>
    <row r="112" spans="2:8" s="37" customFormat="1" x14ac:dyDescent="0.35">
      <c r="B112" s="37" t="str">
        <f>IF(D110="Y","Pass and access management","")</f>
        <v/>
      </c>
      <c r="D112" s="84"/>
      <c r="F112" s="37" t="str">
        <f>IF(D110="Y","Visitor Management","")</f>
        <v/>
      </c>
      <c r="H112" s="84"/>
    </row>
    <row r="113" spans="2:8" s="37" customFormat="1" x14ac:dyDescent="0.35"/>
    <row r="114" spans="2:8" s="37" customFormat="1" x14ac:dyDescent="0.35">
      <c r="B114" s="37" t="str">
        <f>IF(D110="Y","In hours taxi Booking Service","")</f>
        <v/>
      </c>
      <c r="D114" s="84"/>
      <c r="F114" s="37" t="str">
        <f>IF(D110="Y","Out of hours taxi booking service","")</f>
        <v/>
      </c>
      <c r="H114" s="84"/>
    </row>
    <row r="115" spans="2:8" s="37" customFormat="1" x14ac:dyDescent="0.35"/>
    <row r="116" spans="2:8" s="37" customFormat="1" x14ac:dyDescent="0.35">
      <c r="B116" s="37" t="str">
        <f>IF(D110="Y","Meeting room booking service","")</f>
        <v/>
      </c>
      <c r="D116" s="84"/>
      <c r="F116" s="37" t="str">
        <f>IF(D116="Y","Room names, maximum occupancy, etc.","")</f>
        <v/>
      </c>
    </row>
    <row r="117" spans="2:8" s="37" customFormat="1" x14ac:dyDescent="0.35"/>
    <row r="118" spans="2:8" s="37" customFormat="1" x14ac:dyDescent="0.35">
      <c r="B118" s="37" t="str">
        <f>IF(D110="Y","Car park management","")</f>
        <v/>
      </c>
      <c r="D118" s="84"/>
    </row>
    <row r="119" spans="2:8" s="37" customFormat="1" x14ac:dyDescent="0.35"/>
    <row r="120" spans="2:8" s="37" customFormat="1" x14ac:dyDescent="0.35">
      <c r="B120" s="37" t="str">
        <f>IF(D110="Y","Switchboard services","")</f>
        <v/>
      </c>
      <c r="D120" s="84"/>
    </row>
    <row r="121" spans="2:8" s="37" customFormat="1" x14ac:dyDescent="0.35"/>
    <row r="122" spans="2:8" s="37" customFormat="1" x14ac:dyDescent="0.35">
      <c r="B122" s="38" t="str">
        <f>IF(D18='Data lists'!I1,"Mail Services","")</f>
        <v/>
      </c>
      <c r="D122" s="84"/>
      <c r="F122" s="38" t="str">
        <f>IF(D122="Y","Internal messenger Service","")</f>
        <v/>
      </c>
      <c r="H122" s="84"/>
    </row>
    <row r="123" spans="2:8" s="37" customFormat="1" x14ac:dyDescent="0.35"/>
    <row r="124" spans="2:8" s="37" customFormat="1" x14ac:dyDescent="0.35">
      <c r="B124" s="38" t="str">
        <f>IF(D122="Y","Courier booking and distribution services","")</f>
        <v/>
      </c>
      <c r="D124" s="84"/>
    </row>
    <row r="125" spans="2:8" s="37" customFormat="1" x14ac:dyDescent="0.35"/>
    <row r="126" spans="2:8" s="37" customFormat="1" x14ac:dyDescent="0.35">
      <c r="B126" s="38" t="str">
        <f>IF(D18='Data lists'!I1,"Move and space management (internal moves)","")</f>
        <v/>
      </c>
      <c r="D126" s="84"/>
    </row>
    <row r="127" spans="2:8" s="37" customFormat="1" x14ac:dyDescent="0.35"/>
    <row r="128" spans="2:8" s="37" customFormat="1" x14ac:dyDescent="0.35">
      <c r="B128" s="38" t="str">
        <f>IF(D18='Data lists'!I1,"Porterage","")</f>
        <v/>
      </c>
      <c r="C128" s="38"/>
      <c r="D128" s="85"/>
      <c r="E128" s="38"/>
    </row>
    <row r="129" spans="2:8" s="37" customFormat="1" x14ac:dyDescent="0.35">
      <c r="B129" s="38"/>
      <c r="C129" s="38"/>
      <c r="D129" s="38"/>
      <c r="E129" s="38"/>
    </row>
    <row r="130" spans="2:8" s="37" customFormat="1" x14ac:dyDescent="0.35">
      <c r="B130" s="38" t="str">
        <f>IF(D18='Data lists'!I1,"Stores and Goods Management Services","")</f>
        <v/>
      </c>
      <c r="C130" s="38"/>
      <c r="D130" s="85"/>
      <c r="E130" s="38"/>
    </row>
    <row r="131" spans="2:8" s="37" customFormat="1" x14ac:dyDescent="0.35">
      <c r="B131" s="38"/>
      <c r="C131" s="38"/>
      <c r="D131" s="38"/>
      <c r="E131" s="38"/>
    </row>
    <row r="132" spans="2:8" s="37" customFormat="1" x14ac:dyDescent="0.35">
      <c r="B132" s="38" t="str">
        <f>IF(D18='Data lists'!I1,"Driver Services","")</f>
        <v/>
      </c>
      <c r="C132" s="38"/>
      <c r="D132" s="85"/>
      <c r="E132" s="38"/>
      <c r="F132" s="37" t="str">
        <f>IF(D132="Y","Hours or operation","")</f>
        <v/>
      </c>
      <c r="H132" s="84"/>
    </row>
    <row r="133" spans="2:8" s="37" customFormat="1" x14ac:dyDescent="0.35">
      <c r="B133" s="38"/>
      <c r="C133" s="38"/>
      <c r="D133" s="38"/>
      <c r="E133" s="38"/>
    </row>
    <row r="134" spans="2:8" s="37" customFormat="1" x14ac:dyDescent="0.35">
      <c r="B134" s="26" t="str">
        <f>IF(D132="Y","Type of vehicle","")</f>
        <v/>
      </c>
      <c r="D134" s="84"/>
      <c r="E134" s="38"/>
      <c r="F134" s="26" t="str">
        <f>IF(D132="Y","Training level required","")</f>
        <v/>
      </c>
      <c r="H134" s="84"/>
    </row>
    <row r="135" spans="2:8" s="37" customFormat="1" x14ac:dyDescent="0.35">
      <c r="C135" s="38"/>
      <c r="D135" s="38"/>
      <c r="E135" s="38"/>
    </row>
    <row r="136" spans="2:8" s="37" customFormat="1" x14ac:dyDescent="0.35">
      <c r="B136" s="53" t="str">
        <f>IF(D132="Y","Additional certification required (e.g. first aid, security)","")</f>
        <v/>
      </c>
      <c r="C136" s="38"/>
      <c r="D136" s="85"/>
      <c r="E136" s="38"/>
      <c r="F136" s="37" t="str">
        <f>IF(D132="Y","Details of service provision","")</f>
        <v/>
      </c>
      <c r="H136" s="84"/>
    </row>
    <row r="137" spans="2:8" s="37" customFormat="1" x14ac:dyDescent="0.35">
      <c r="B137" s="38"/>
      <c r="C137" s="38"/>
      <c r="D137" s="38"/>
      <c r="E137" s="38"/>
    </row>
    <row r="138" spans="2:8" s="37" customFormat="1" x14ac:dyDescent="0.35">
      <c r="B138" s="38" t="str">
        <f>IF(D18='Data lists'!I1,"First Aid and Medical Services","")</f>
        <v/>
      </c>
      <c r="C138" s="38"/>
      <c r="D138" s="85"/>
      <c r="E138" s="38"/>
      <c r="F138" s="44" t="str">
        <f>IF(D138="Y","Number of trained first aiders and qualification levels required","")</f>
        <v/>
      </c>
      <c r="H138" s="84"/>
    </row>
    <row r="139" spans="2:8" s="37" customFormat="1" x14ac:dyDescent="0.35">
      <c r="B139" s="38"/>
      <c r="C139" s="38"/>
      <c r="D139" s="38"/>
      <c r="E139" s="38"/>
    </row>
    <row r="140" spans="2:8" s="37" customFormat="1" x14ac:dyDescent="0.35">
      <c r="B140" s="37" t="str">
        <f>IF(D138="Y","First Aid supply and managment","")</f>
        <v/>
      </c>
      <c r="D140" s="84"/>
      <c r="E140" s="38"/>
    </row>
    <row r="141" spans="2:8" s="37" customFormat="1" x14ac:dyDescent="0.35">
      <c r="B141" s="38"/>
      <c r="C141" s="38"/>
      <c r="D141" s="38"/>
      <c r="E141" s="38"/>
    </row>
    <row r="142" spans="2:8" s="37" customFormat="1" x14ac:dyDescent="0.35">
      <c r="B142" s="37" t="str">
        <f>IF(D18='Data lists'!I1,"Fire warden services","")</f>
        <v/>
      </c>
      <c r="C142" s="38"/>
      <c r="D142" s="85"/>
      <c r="E142" s="38"/>
      <c r="F142" s="37" t="str">
        <f>IF(D142="Y","Details","")</f>
        <v/>
      </c>
      <c r="H142" s="84"/>
    </row>
    <row r="143" spans="2:8" s="37" customFormat="1" x14ac:dyDescent="0.35">
      <c r="B143" s="38"/>
      <c r="C143" s="38"/>
      <c r="D143" s="38"/>
      <c r="E143" s="38"/>
    </row>
    <row r="144" spans="2:8" s="37" customFormat="1" x14ac:dyDescent="0.35">
      <c r="B144" s="38" t="str">
        <f>IF(D18='Data lists'!I1,"On site archiving","")</f>
        <v/>
      </c>
      <c r="C144" s="38"/>
      <c r="D144" s="85"/>
      <c r="E144" s="38"/>
    </row>
    <row r="145" spans="2:8" s="37" customFormat="1" x14ac:dyDescent="0.35">
      <c r="B145" s="38"/>
      <c r="C145" s="38"/>
      <c r="D145" s="38"/>
      <c r="E145" s="38"/>
    </row>
    <row r="146" spans="2:8" s="37" customFormat="1" x14ac:dyDescent="0.35">
      <c r="B146" s="38" t="str">
        <f>IF(D18='Data lists'!I1,"Reprographics","")</f>
        <v/>
      </c>
      <c r="C146" s="38"/>
      <c r="D146" s="85"/>
      <c r="E146" s="38"/>
    </row>
    <row r="147" spans="2:8" s="37" customFormat="1" x14ac:dyDescent="0.35">
      <c r="B147" s="38"/>
      <c r="C147" s="38"/>
      <c r="D147" s="38"/>
      <c r="E147" s="38"/>
    </row>
    <row r="148" spans="2:8" s="37" customFormat="1" x14ac:dyDescent="0.35">
      <c r="B148" s="38" t="str">
        <f>IF(D18='Data lists'!I1,"Furniture Management","")</f>
        <v/>
      </c>
      <c r="C148" s="38"/>
      <c r="D148" s="84"/>
    </row>
    <row r="149" spans="2:8" s="37" customFormat="1" x14ac:dyDescent="0.35">
      <c r="B149" s="38"/>
      <c r="C149" s="38"/>
      <c r="D149" s="38"/>
      <c r="E149" s="38"/>
    </row>
    <row r="150" spans="2:8" s="37" customFormat="1" x14ac:dyDescent="0.35">
      <c r="B150" s="24" t="str">
        <f>IF(D18='Data lists'!I1,"Sport / Leisure facilities management","")</f>
        <v/>
      </c>
      <c r="C150" s="38"/>
      <c r="D150" s="85"/>
      <c r="E150" s="38"/>
    </row>
    <row r="151" spans="2:8" s="37" customFormat="1" x14ac:dyDescent="0.35">
      <c r="B151" s="24"/>
      <c r="C151" s="38"/>
      <c r="D151" s="38"/>
      <c r="E151" s="38"/>
    </row>
    <row r="152" spans="2:8" s="37" customFormat="1" x14ac:dyDescent="0.35">
      <c r="B152" s="38" t="str">
        <f>IF(D18='Data lists'!I1,"Stationary Services","")</f>
        <v/>
      </c>
      <c r="C152" s="38"/>
      <c r="D152" s="85"/>
      <c r="E152" s="38"/>
      <c r="F152" s="37" t="str">
        <f>IF(D152="Y","Supply, management or both","")</f>
        <v/>
      </c>
      <c r="H152" s="84"/>
    </row>
    <row r="153" spans="2:8" s="37" customFormat="1" x14ac:dyDescent="0.35">
      <c r="B153" s="38"/>
      <c r="C153" s="38"/>
      <c r="D153" s="38"/>
      <c r="E153" s="38"/>
    </row>
    <row r="154" spans="2:8" s="37" customFormat="1" x14ac:dyDescent="0.35">
      <c r="B154" s="38" t="str">
        <f>IF(D18='Data lists'!I1,"Cable management","")</f>
        <v/>
      </c>
      <c r="D154" s="85"/>
      <c r="E154" s="38"/>
    </row>
    <row r="155" spans="2:8" s="37" customFormat="1" x14ac:dyDescent="0.35">
      <c r="B155" s="38"/>
      <c r="D155" s="38"/>
      <c r="E155" s="38"/>
    </row>
    <row r="156" spans="2:8" s="37" customFormat="1" x14ac:dyDescent="0.35">
      <c r="B156" s="38" t="str">
        <f>IF(D18='Data lists'!I1,"Flag Flying Services","")</f>
        <v/>
      </c>
      <c r="D156" s="85"/>
      <c r="E156" s="38"/>
    </row>
    <row r="157" spans="2:8" s="37" customFormat="1" x14ac:dyDescent="0.35">
      <c r="C157" s="38"/>
      <c r="D157" s="38"/>
    </row>
    <row r="158" spans="2:8" s="37" customFormat="1" x14ac:dyDescent="0.35">
      <c r="B158" s="38" t="str">
        <f>IF(D18='Data lists'!I1,"Clock battery changing and daylight savings adjusting","")</f>
        <v/>
      </c>
      <c r="D158" s="85"/>
    </row>
    <row r="159" spans="2:8" s="37" customFormat="1" x14ac:dyDescent="0.35">
      <c r="B159" s="38"/>
      <c r="D159" s="38"/>
    </row>
    <row r="160" spans="2:8" s="37" customFormat="1" x14ac:dyDescent="0.35">
      <c r="B160" s="38" t="str">
        <f>IF(D18='Data lists'!I1,"Journal, Magazine and Newspaper Supply","")</f>
        <v/>
      </c>
      <c r="D160" s="85"/>
      <c r="E160" s="38"/>
    </row>
    <row r="161" spans="2:8" s="37" customFormat="1" x14ac:dyDescent="0.35">
      <c r="B161" s="38"/>
      <c r="D161" s="38"/>
      <c r="E161" s="38"/>
    </row>
    <row r="162" spans="2:8" s="37" customFormat="1" x14ac:dyDescent="0.35">
      <c r="B162" s="38" t="str">
        <f>IF(D18='Data lists'!I1,"Internal planting","")</f>
        <v/>
      </c>
      <c r="D162" s="84"/>
      <c r="E162" s="38"/>
      <c r="F162" s="37" t="str">
        <f>IF(D162="Y","living / artificial / other","")</f>
        <v/>
      </c>
      <c r="H162" s="84"/>
    </row>
    <row r="163" spans="2:8" s="37" customFormat="1" x14ac:dyDescent="0.35">
      <c r="B163" s="38"/>
      <c r="E163" s="38"/>
    </row>
    <row r="164" spans="2:8" s="37" customFormat="1" x14ac:dyDescent="0.35">
      <c r="B164" s="37" t="str">
        <f>IF(D162="Y","Detail","")</f>
        <v/>
      </c>
      <c r="D164" s="84"/>
      <c r="E164" s="38"/>
    </row>
    <row r="165" spans="2:8" s="37" customFormat="1" x14ac:dyDescent="0.35">
      <c r="B165" s="38"/>
      <c r="E165" s="38"/>
    </row>
    <row r="166" spans="2:8" s="37" customFormat="1" x14ac:dyDescent="0.35">
      <c r="B166" s="38" t="str">
        <f>IF(D18='Data lists'!I1,"Cut flowers","")</f>
        <v/>
      </c>
      <c r="D166" s="84"/>
      <c r="E166" s="38"/>
      <c r="F166" s="37" t="str">
        <f>IF(D166="Y","Details of type, frequency etc.","")</f>
        <v/>
      </c>
      <c r="H166" s="84"/>
    </row>
    <row r="167" spans="2:8" s="37" customFormat="1" x14ac:dyDescent="0.35">
      <c r="B167" s="38"/>
      <c r="E167" s="38"/>
    </row>
    <row r="168" spans="2:8" s="37" customFormat="1" x14ac:dyDescent="0.35">
      <c r="B168" s="38" t="str">
        <f>IF(D18='Data lists'!I1,"Seasonal decorations","")</f>
        <v/>
      </c>
      <c r="D168" s="84"/>
      <c r="E168" s="38"/>
      <c r="F168" s="37" t="str">
        <f>IF(D168="Y","Details of type, frequency, festivals","")</f>
        <v/>
      </c>
      <c r="H168" s="84"/>
    </row>
    <row r="169" spans="2:8" s="37" customFormat="1" x14ac:dyDescent="0.35">
      <c r="B169" s="38"/>
      <c r="D169" s="39"/>
      <c r="E169" s="39"/>
    </row>
    <row r="170" spans="2:8" s="37" customFormat="1" x14ac:dyDescent="0.35">
      <c r="B170" s="38" t="str">
        <f>IF(D18='Data lists'!I1,"Housing and residential accommodation management","")</f>
        <v/>
      </c>
      <c r="D170" s="84"/>
      <c r="F170" s="37" t="str">
        <f>IF(D170="Y","Details","")</f>
        <v/>
      </c>
    </row>
    <row r="171" spans="2:8" s="37" customFormat="1" x14ac:dyDescent="0.35">
      <c r="B171" s="38"/>
    </row>
    <row r="172" spans="2:8" s="37" customFormat="1" x14ac:dyDescent="0.35">
      <c r="B172" s="30" t="str">
        <f>IF(D18='Data lists'!I1,"Hairdressing Services","")</f>
        <v/>
      </c>
      <c r="D172" s="84"/>
      <c r="F172" s="37" t="str">
        <f>IF(D172="Y","Details","")</f>
        <v/>
      </c>
      <c r="H172" s="84"/>
    </row>
    <row r="173" spans="2:8" s="37" customFormat="1" x14ac:dyDescent="0.35">
      <c r="B173" s="30"/>
    </row>
    <row r="174" spans="2:8" s="37" customFormat="1" x14ac:dyDescent="0.35">
      <c r="B174" s="30" t="str">
        <f>IF(D18='Data lists'!I1,"Footwear cobbling services","")</f>
        <v/>
      </c>
      <c r="D174" s="84"/>
      <c r="F174" s="37" t="str">
        <f>IF(D174="Y","Details","")</f>
        <v/>
      </c>
      <c r="H174" s="84"/>
    </row>
    <row r="175" spans="2:8" s="37" customFormat="1" x14ac:dyDescent="0.35">
      <c r="B175" s="30"/>
    </row>
    <row r="176" spans="2:8" s="37" customFormat="1" x14ac:dyDescent="0.35">
      <c r="B176" s="30" t="str">
        <f>IF(D18='Data lists'!I1,"Provision of chaplaincy support Services","")</f>
        <v/>
      </c>
      <c r="D176" s="84"/>
      <c r="F176" s="37" t="str">
        <f>IF(D176="Y","Details","")</f>
        <v/>
      </c>
      <c r="H176" s="84"/>
    </row>
    <row r="177" spans="1:8" s="37" customFormat="1" x14ac:dyDescent="0.35">
      <c r="B177" s="30"/>
    </row>
    <row r="178" spans="1:8" s="37" customFormat="1" x14ac:dyDescent="0.35">
      <c r="B178" s="30" t="str">
        <f>IF(D18='Data lists'!I1,"Janitor Services (Education)","")</f>
        <v/>
      </c>
      <c r="D178" s="84"/>
      <c r="F178" s="37" t="str">
        <f>IF(D178="Y","Details","")</f>
        <v/>
      </c>
      <c r="H178" s="84"/>
    </row>
    <row r="179" spans="1:8" s="37" customFormat="1" x14ac:dyDescent="0.35">
      <c r="B179" s="30"/>
    </row>
    <row r="180" spans="1:8" s="37" customFormat="1" x14ac:dyDescent="0.35">
      <c r="B180" s="30" t="str">
        <f>IF(D18='Data lists'!I1,"Specialist Health FM Services","")</f>
        <v/>
      </c>
      <c r="D180" s="84"/>
      <c r="F180" s="37" t="str">
        <f>IF(D180="Y","Details","")</f>
        <v/>
      </c>
      <c r="H180" s="84"/>
    </row>
    <row r="181" spans="1:8" s="37" customFormat="1" x14ac:dyDescent="0.35">
      <c r="B181" s="38"/>
    </row>
    <row r="182" spans="1:8" s="37" customFormat="1" x14ac:dyDescent="0.35">
      <c r="B182" s="30" t="str">
        <f>IF(D18='Data lists'!I1,"Childcare facility","")</f>
        <v/>
      </c>
      <c r="C182" s="31"/>
      <c r="D182" s="84"/>
      <c r="E182" s="28"/>
      <c r="F182" s="28" t="str">
        <f>IF(D182="Y","Hours or operation","")</f>
        <v/>
      </c>
      <c r="H182" s="84"/>
    </row>
    <row r="183" spans="1:8" s="37" customFormat="1" x14ac:dyDescent="0.35">
      <c r="B183" s="38"/>
    </row>
    <row r="184" spans="1:8" s="37" customFormat="1" x14ac:dyDescent="0.35">
      <c r="B184" s="38" t="str">
        <f>IF(D182="Y","Staff required","")</f>
        <v/>
      </c>
      <c r="D184" s="84"/>
      <c r="F184" s="37" t="str">
        <f>IF(D184="Y","Training required","")</f>
        <v/>
      </c>
      <c r="H184" s="84"/>
    </row>
    <row r="185" spans="1:8" s="37" customFormat="1" x14ac:dyDescent="0.35">
      <c r="B185" s="38"/>
    </row>
    <row r="186" spans="1:8" x14ac:dyDescent="0.35">
      <c r="A186" s="37"/>
      <c r="B186" s="185" t="str">
        <f>IF(D26='Data lists'!I1,"Pest Control","")</f>
        <v/>
      </c>
      <c r="C186" s="185"/>
      <c r="D186" s="185"/>
    </row>
    <row r="187" spans="1:8" s="35" customFormat="1" x14ac:dyDescent="0.35">
      <c r="A187" s="33"/>
      <c r="B187" s="24"/>
      <c r="C187" s="25"/>
    </row>
    <row r="188" spans="1:8" s="35" customFormat="1" x14ac:dyDescent="0.35">
      <c r="B188" s="35" t="str">
        <f>IF(D26='Data lists'!I1,"Frequency of surveys","")</f>
        <v/>
      </c>
      <c r="C188" s="25"/>
      <c r="D188" s="108"/>
      <c r="F188" s="35" t="str">
        <f>IF(D26='Data lists'!I1,"Details","")</f>
        <v/>
      </c>
      <c r="H188" s="108"/>
    </row>
    <row r="189" spans="1:8" s="35" customFormat="1" x14ac:dyDescent="0.35">
      <c r="B189" s="24"/>
      <c r="C189" s="25"/>
    </row>
    <row r="190" spans="1:8" s="35" customFormat="1" x14ac:dyDescent="0.35">
      <c r="B190" s="35" t="str">
        <f>IF(D26='Data lists'!I1,"Any restrictions on methods used","")</f>
        <v/>
      </c>
      <c r="C190" s="25"/>
      <c r="D190" s="79"/>
      <c r="F190" s="35" t="str">
        <f>IF(D26='Data lists'!I1,"Known pests","")</f>
        <v/>
      </c>
      <c r="H190" s="79"/>
    </row>
    <row r="191" spans="1:8" s="35" customFormat="1" x14ac:dyDescent="0.35">
      <c r="B191" s="24"/>
      <c r="C191" s="25"/>
    </row>
    <row r="192" spans="1:8" x14ac:dyDescent="0.35">
      <c r="A192" s="35"/>
      <c r="B192" s="186" t="str">
        <f>IF(D28="Y","Portable units","")</f>
        <v/>
      </c>
      <c r="C192" s="186"/>
      <c r="D192" s="186"/>
      <c r="E192" s="36"/>
      <c r="F192" s="36"/>
      <c r="G192" s="36"/>
    </row>
    <row r="193" spans="1:8" s="35" customFormat="1" x14ac:dyDescent="0.35">
      <c r="A193" s="33"/>
    </row>
    <row r="194" spans="1:8" s="35" customFormat="1" x14ac:dyDescent="0.35">
      <c r="B194" s="24" t="str">
        <f>IF(D28="Y","Portaloo hire","")</f>
        <v/>
      </c>
      <c r="D194" s="79"/>
      <c r="F194" s="35" t="str">
        <f>IF(D194="Y","Number","")</f>
        <v/>
      </c>
      <c r="H194" s="79"/>
    </row>
    <row r="195" spans="1:8" s="35" customFormat="1" x14ac:dyDescent="0.35">
      <c r="B195" s="24"/>
    </row>
    <row r="196" spans="1:8" s="35" customFormat="1" x14ac:dyDescent="0.35">
      <c r="B196" s="24" t="str">
        <f>IF(D194="Y","Type","")</f>
        <v/>
      </c>
      <c r="D196" s="79"/>
      <c r="F196" s="35" t="str">
        <f>IF(D194="Y","Placement","")</f>
        <v/>
      </c>
      <c r="H196" s="79"/>
    </row>
    <row r="197" spans="1:8" s="35" customFormat="1" x14ac:dyDescent="0.35">
      <c r="B197" s="24"/>
    </row>
    <row r="198" spans="1:8" s="35" customFormat="1" x14ac:dyDescent="0.35">
      <c r="B198" s="35" t="str">
        <f>IF(D194="Y","Cleaning required","")</f>
        <v/>
      </c>
      <c r="D198" s="79"/>
    </row>
    <row r="199" spans="1:8" s="35" customFormat="1" x14ac:dyDescent="0.35">
      <c r="B199" s="24"/>
    </row>
    <row r="200" spans="1:8" s="35" customFormat="1" x14ac:dyDescent="0.35">
      <c r="B200" s="24" t="str">
        <f>IF(D28="Y","Portacabin hire","")</f>
        <v/>
      </c>
      <c r="D200" s="79"/>
      <c r="F200" s="35" t="str">
        <f>IF(D200="Y","Number","")</f>
        <v/>
      </c>
      <c r="H200" s="79"/>
    </row>
    <row r="201" spans="1:8" s="35" customFormat="1" x14ac:dyDescent="0.35">
      <c r="B201" s="24"/>
    </row>
    <row r="202" spans="1:8" s="35" customFormat="1" x14ac:dyDescent="0.35">
      <c r="B202" s="35" t="str">
        <f>IF(D200="Y","Size","")</f>
        <v/>
      </c>
      <c r="D202" s="79"/>
      <c r="F202" s="24" t="str">
        <f>IF(D200="Y","Must have's (e.g. toilet, office, waiting area etc.)","")</f>
        <v/>
      </c>
      <c r="H202" s="79"/>
    </row>
    <row r="203" spans="1:8" s="35" customFormat="1" x14ac:dyDescent="0.35">
      <c r="B203" s="24"/>
    </row>
    <row r="204" spans="1:8" s="35" customFormat="1" x14ac:dyDescent="0.35">
      <c r="B204" s="35" t="str">
        <f>IF(D200="Y","Placement","")</f>
        <v/>
      </c>
      <c r="D204" s="79"/>
    </row>
    <row r="205" spans="1:8" s="35" customFormat="1" x14ac:dyDescent="0.35">
      <c r="B205" s="24"/>
    </row>
    <row r="206" spans="1:8" s="35" customFormat="1" x14ac:dyDescent="0.35">
      <c r="B206" s="24" t="str">
        <f>IF(D28="Y","Welfare unit hire","")</f>
        <v/>
      </c>
      <c r="D206" s="79"/>
      <c r="F206" s="35" t="str">
        <f>IF(D206="Y","Number","")</f>
        <v/>
      </c>
      <c r="H206" s="79"/>
    </row>
    <row r="207" spans="1:8" s="35" customFormat="1" x14ac:dyDescent="0.35">
      <c r="B207" s="24"/>
    </row>
    <row r="208" spans="1:8" s="35" customFormat="1" x14ac:dyDescent="0.35">
      <c r="B208" s="35" t="str">
        <f>IF(D206="Y","Size","")</f>
        <v/>
      </c>
      <c r="D208" s="79"/>
      <c r="F208" s="24" t="str">
        <f>IF(D206="Y","Must have's (e.g. toilet, office, waiting area etc.)","")</f>
        <v/>
      </c>
      <c r="H208" s="79"/>
    </row>
    <row r="209" spans="1:8" s="35" customFormat="1" x14ac:dyDescent="0.35">
      <c r="B209" s="24"/>
    </row>
    <row r="210" spans="1:8" s="35" customFormat="1" x14ac:dyDescent="0.35">
      <c r="B210" s="35" t="str">
        <f>IF(D206="Y","Placement","")</f>
        <v/>
      </c>
      <c r="D210" s="79"/>
    </row>
    <row r="211" spans="1:8" s="35" customFormat="1" x14ac:dyDescent="0.35"/>
    <row r="212" spans="1:8" s="35" customFormat="1" x14ac:dyDescent="0.35">
      <c r="B212" s="35" t="str">
        <f>IF(D28="Y","Water Bowser hire","")</f>
        <v/>
      </c>
      <c r="D212" s="79"/>
      <c r="F212" s="35" t="str">
        <f>IF(D212="Y","Capacity in litres","")</f>
        <v/>
      </c>
      <c r="H212" s="79"/>
    </row>
    <row r="213" spans="1:8" s="35" customFormat="1" x14ac:dyDescent="0.35"/>
    <row r="214" spans="1:8" s="35" customFormat="1" x14ac:dyDescent="0.35">
      <c r="B214" s="35" t="str">
        <f>IF(D212="Y","What connected to","")</f>
        <v/>
      </c>
      <c r="D214" s="79"/>
    </row>
    <row r="215" spans="1:8" x14ac:dyDescent="0.35">
      <c r="A215" s="35"/>
    </row>
  </sheetData>
  <sheetProtection algorithmName="SHA-512" hashValue="frJaMd3e18Z85nuunaSiTb8X1Vsx6aYe6HHmKY0PPU40567JvxcAFqqqoLy0qrp0lbQWrjtQ9SUKbf8BVKbooQ==" saltValue="gSuTgdr9yaWoMOTSk1+0vw==" spinCount="100000" sheet="1" insertHyperlinks="0" autoFilter="0"/>
  <mergeCells count="12">
    <mergeCell ref="F2:I2"/>
    <mergeCell ref="F3:I9"/>
    <mergeCell ref="B186:D186"/>
    <mergeCell ref="B192:D192"/>
    <mergeCell ref="B96:D96"/>
    <mergeCell ref="B2:D2"/>
    <mergeCell ref="B10:D10"/>
    <mergeCell ref="B30:D30"/>
    <mergeCell ref="B54:D54"/>
    <mergeCell ref="B74:D74"/>
    <mergeCell ref="B86:D86"/>
    <mergeCell ref="B106:D106"/>
  </mergeCells>
  <conditionalFormatting sqref="F14 H14">
    <cfRule type="expression" dxfId="195" priority="76">
      <formula>$D$14="Y"</formula>
    </cfRule>
  </conditionalFormatting>
  <conditionalFormatting sqref="F34 H34 F38 H38 F40 H40 F42 H42 F44 H44 F46 H46 F50:F53 H50:H53">
    <cfRule type="expression" dxfId="194" priority="74">
      <formula>$D34="Y"</formula>
    </cfRule>
  </conditionalFormatting>
  <conditionalFormatting sqref="B48 D48">
    <cfRule type="expression" dxfId="193" priority="73">
      <formula>$D$46="Y"</formula>
    </cfRule>
  </conditionalFormatting>
  <conditionalFormatting sqref="F76 H76">
    <cfRule type="expression" dxfId="192" priority="71">
      <formula>$D$76="Y"</formula>
    </cfRule>
  </conditionalFormatting>
  <conditionalFormatting sqref="F80 H80">
    <cfRule type="expression" dxfId="191" priority="70">
      <formula>$D$80="Y"</formula>
    </cfRule>
  </conditionalFormatting>
  <conditionalFormatting sqref="F82 H82">
    <cfRule type="expression" dxfId="190" priority="69">
      <formula>$D$82="Y"</formula>
    </cfRule>
  </conditionalFormatting>
  <conditionalFormatting sqref="F84 H84">
    <cfRule type="expression" dxfId="189" priority="68">
      <formula>$D$84="Y"</formula>
    </cfRule>
  </conditionalFormatting>
  <conditionalFormatting sqref="F56 H56 F58 H58 B58 D58">
    <cfRule type="expression" dxfId="188" priority="67">
      <formula>$D$56="Y"</formula>
    </cfRule>
  </conditionalFormatting>
  <conditionalFormatting sqref="F108 H108">
    <cfRule type="expression" dxfId="187" priority="63">
      <formula>$D$108="Y"</formula>
    </cfRule>
  </conditionalFormatting>
  <conditionalFormatting sqref="F110 F112 F114 B118 B112 B114 B116 B120 H112 H114 D118 D112 D114 D116 D120 D122">
    <cfRule type="expression" dxfId="186" priority="62">
      <formula>$D$110="Y"</formula>
    </cfRule>
  </conditionalFormatting>
  <conditionalFormatting sqref="F122 B124 H122 D124">
    <cfRule type="expression" dxfId="185" priority="54">
      <formula>$D$122="Y"</formula>
    </cfRule>
  </conditionalFormatting>
  <conditionalFormatting sqref="B140 D140 H138">
    <cfRule type="expression" dxfId="184" priority="51">
      <formula>$D$138="Y"</formula>
    </cfRule>
  </conditionalFormatting>
  <conditionalFormatting sqref="F152 H152">
    <cfRule type="expression" dxfId="183" priority="49">
      <formula>$D$152="Y"</formula>
    </cfRule>
  </conditionalFormatting>
  <conditionalFormatting sqref="F162 H162 D164">
    <cfRule type="expression" dxfId="182" priority="48">
      <formula>$D$162="Y"</formula>
    </cfRule>
  </conditionalFormatting>
  <conditionalFormatting sqref="F166 H166">
    <cfRule type="expression" dxfId="181" priority="47">
      <formula>$D$166="Y"</formula>
    </cfRule>
  </conditionalFormatting>
  <conditionalFormatting sqref="F168 H168">
    <cfRule type="expression" dxfId="180" priority="46">
      <formula>$D$168="Y"</formula>
    </cfRule>
  </conditionalFormatting>
  <conditionalFormatting sqref="F142 H142">
    <cfRule type="expression" dxfId="179" priority="44">
      <formula>$D$142="Y"</formula>
    </cfRule>
  </conditionalFormatting>
  <conditionalFormatting sqref="F138">
    <cfRule type="expression" dxfId="178" priority="43">
      <formula>$D$138="Y"</formula>
    </cfRule>
  </conditionalFormatting>
  <conditionalFormatting sqref="B164">
    <cfRule type="expression" dxfId="177" priority="42">
      <formula>$D$162="Y"</formula>
    </cfRule>
  </conditionalFormatting>
  <conditionalFormatting sqref="H110">
    <cfRule type="expression" dxfId="176" priority="41">
      <formula>$D$110="Y"</formula>
    </cfRule>
  </conditionalFormatting>
  <conditionalFormatting sqref="F16 H16">
    <cfRule type="expression" dxfId="175" priority="39">
      <formula>$D$16="Y"</formula>
    </cfRule>
  </conditionalFormatting>
  <conditionalFormatting sqref="B194 D194 B200 D200 B206 D206 B212 D212">
    <cfRule type="expression" dxfId="174" priority="37">
      <formula>$D$28="Y"</formula>
    </cfRule>
  </conditionalFormatting>
  <conditionalFormatting sqref="F194 H194 B196 D196 F196 H196 B198 D198">
    <cfRule type="expression" dxfId="173" priority="36">
      <formula>$D$194="Y"</formula>
    </cfRule>
  </conditionalFormatting>
  <conditionalFormatting sqref="F200 H200 B202 D202 F202 H202 B204 D204">
    <cfRule type="expression" dxfId="172" priority="35">
      <formula>$D$200="Y"</formula>
    </cfRule>
  </conditionalFormatting>
  <conditionalFormatting sqref="F206 H206 F208 H208 B208 D208 B210 D210">
    <cfRule type="expression" dxfId="171" priority="34">
      <formula>$D$206="Y"</formula>
    </cfRule>
  </conditionalFormatting>
  <conditionalFormatting sqref="F212 H212 B214 D214">
    <cfRule type="expression" dxfId="170" priority="33">
      <formula>$D$212="Y"</formula>
    </cfRule>
  </conditionalFormatting>
  <conditionalFormatting sqref="F12">
    <cfRule type="cellIs" dxfId="169" priority="32" operator="greaterThan">
      <formula>""""""</formula>
    </cfRule>
  </conditionalFormatting>
  <conditionalFormatting sqref="F18">
    <cfRule type="cellIs" dxfId="168" priority="31" operator="greaterThan">
      <formula>""""""</formula>
    </cfRule>
  </conditionalFormatting>
  <conditionalFormatting sqref="F20 F22:F23 F26 F28">
    <cfRule type="cellIs" dxfId="167" priority="30" operator="greaterThan">
      <formula>""""""</formula>
    </cfRule>
  </conditionalFormatting>
  <conditionalFormatting sqref="B192:D192">
    <cfRule type="expression" dxfId="166" priority="22">
      <formula>$D$28="Y"</formula>
    </cfRule>
  </conditionalFormatting>
  <conditionalFormatting sqref="F132 H132 B134 D134 F134 H134 B136 D136 F136 H136">
    <cfRule type="expression" dxfId="165" priority="21">
      <formula>$D$132="Y"</formula>
    </cfRule>
  </conditionalFormatting>
  <conditionalFormatting sqref="F172 H172 F174 H174 F176 H176 F178 H178 F180:F181 H180">
    <cfRule type="expression" dxfId="164" priority="14">
      <formula>$D172="Y"</formula>
    </cfRule>
  </conditionalFormatting>
  <conditionalFormatting sqref="B184 D184 F182 H182">
    <cfRule type="expression" dxfId="163" priority="12">
      <formula>$D$182="Y"</formula>
    </cfRule>
  </conditionalFormatting>
  <conditionalFormatting sqref="F184 H184">
    <cfRule type="expression" dxfId="162" priority="11">
      <formula>$D$184="Y"</formula>
    </cfRule>
  </conditionalFormatting>
  <conditionalFormatting sqref="F60 H60">
    <cfRule type="expression" dxfId="161" priority="10">
      <formula>$D$60="Y"</formula>
    </cfRule>
  </conditionalFormatting>
  <conditionalFormatting sqref="F66 H66">
    <cfRule type="expression" dxfId="160" priority="9">
      <formula>$D$66="Y"</formula>
    </cfRule>
  </conditionalFormatting>
  <conditionalFormatting sqref="F62 H62">
    <cfRule type="expression" dxfId="159" priority="8">
      <formula>$D$62="Y"</formula>
    </cfRule>
  </conditionalFormatting>
  <conditionalFormatting sqref="F68 H68">
    <cfRule type="expression" dxfId="158" priority="7">
      <formula>$D$68="Y"</formula>
    </cfRule>
  </conditionalFormatting>
  <conditionalFormatting sqref="F70 H70">
    <cfRule type="expression" dxfId="157" priority="6">
      <formula>$D$70="Y"</formula>
    </cfRule>
  </conditionalFormatting>
  <conditionalFormatting sqref="F72 H72">
    <cfRule type="expression" dxfId="156" priority="5">
      <formula>$D$72="Y"</formula>
    </cfRule>
  </conditionalFormatting>
  <conditionalFormatting sqref="F64 H64">
    <cfRule type="expression" dxfId="155" priority="4">
      <formula>$D$64="Y"</formula>
    </cfRule>
  </conditionalFormatting>
  <conditionalFormatting sqref="F116 H116">
    <cfRule type="expression" dxfId="154" priority="3">
      <formula>$D$116="Y"</formula>
    </cfRule>
  </conditionalFormatting>
  <conditionalFormatting sqref="H170 F170">
    <cfRule type="expression" dxfId="153" priority="2">
      <formula>$D$170="Y"</formula>
    </cfRule>
  </conditionalFormatting>
  <conditionalFormatting sqref="F24 H24">
    <cfRule type="expression" dxfId="152" priority="1">
      <formula>$D$24="Y"</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75" id="{93454869-DFD1-44FB-A331-26279D2312A8}">
            <xm:f>$D$12='Data lists'!$I$1</xm:f>
            <x14:dxf>
              <border>
                <left style="thin">
                  <color auto="1"/>
                </left>
                <right style="thin">
                  <color auto="1"/>
                </right>
                <top style="thin">
                  <color auto="1"/>
                </top>
                <bottom style="thin">
                  <color auto="1"/>
                </bottom>
                <vertical/>
                <horizontal/>
              </border>
            </x14:dxf>
          </x14:cfRule>
          <xm:sqref>B32 D32 B34 D34 B36 D36 B38 D38 B40 D40 B42 D42 B44 D44 B46 D46 B50 D50 D52 B52</xm:sqref>
        </x14:conditionalFormatting>
        <x14:conditionalFormatting xmlns:xm="http://schemas.microsoft.com/office/excel/2006/main">
          <x14:cfRule type="expression" priority="72" id="{DBB664ED-2CB4-4D03-94B5-4F2ABE8C260F}">
            <xm:f>$D$12='Data lists'!$I$1</xm:f>
            <x14:dxf>
              <border>
                <left style="thin">
                  <color auto="1"/>
                </left>
                <right style="thin">
                  <color auto="1"/>
                </right>
                <top style="thin">
                  <color auto="1"/>
                </top>
                <bottom style="thin">
                  <color auto="1"/>
                </bottom>
                <vertical/>
                <horizontal/>
              </border>
            </x14:dxf>
          </x14:cfRule>
          <xm:sqref>B56 B60 B62 B64 B66 B68 B70 B72 B76 D76 B78 D78 B80 D80 B82 D82 B84 D84 D72 D70 D68 D66 D64 D62 D60 D56</xm:sqref>
        </x14:conditionalFormatting>
        <x14:conditionalFormatting xmlns:xm="http://schemas.microsoft.com/office/excel/2006/main">
          <x14:cfRule type="expression" priority="66" id="{D919C5EF-EFB7-48D6-BBEE-77FAF521EDBD}">
            <xm:f>$D$20='Data lists'!$I$1</xm:f>
            <x14:dxf>
              <border>
                <left style="thin">
                  <color auto="1"/>
                </left>
                <right style="thin">
                  <color auto="1"/>
                </right>
                <top style="thin">
                  <color auto="1"/>
                </top>
                <bottom style="thin">
                  <color auto="1"/>
                </bottom>
                <vertical/>
                <horizontal/>
              </border>
            </x14:dxf>
          </x14:cfRule>
          <xm:sqref>B88 D88 B90 D90 B92 D92 F90 H90 F92 H92 B94 D94</xm:sqref>
        </x14:conditionalFormatting>
        <x14:conditionalFormatting xmlns:xm="http://schemas.microsoft.com/office/excel/2006/main">
          <x14:cfRule type="expression" priority="65" id="{E6787409-A16D-49A0-ACC7-089B581E4B18}">
            <xm:f>$D$22='Data lists'!$I$1</xm:f>
            <x14:dxf>
              <border>
                <left style="thin">
                  <color auto="1"/>
                </left>
                <right style="thin">
                  <color auto="1"/>
                </right>
                <top style="thin">
                  <color auto="1"/>
                </top>
                <bottom style="thin">
                  <color auto="1"/>
                </bottom>
                <vertical/>
                <horizontal/>
              </border>
            </x14:dxf>
          </x14:cfRule>
          <xm:sqref>B98 D98 B100 D100 F100 H100 F102 H102 B102 D102 B104 D104</xm:sqref>
        </x14:conditionalFormatting>
        <x14:conditionalFormatting xmlns:xm="http://schemas.microsoft.com/office/excel/2006/main">
          <x14:cfRule type="expression" priority="64" id="{064DEEDE-69FC-4A46-AE1B-05524F1CE4E7}">
            <xm:f>$D$18='Data lists'!$I$1</xm:f>
            <x14:dxf>
              <border>
                <left style="thin">
                  <color auto="1"/>
                </left>
                <right style="thin">
                  <color auto="1"/>
                </right>
                <top style="thin">
                  <color auto="1"/>
                </top>
                <bottom style="thin">
                  <color auto="1"/>
                </bottom>
                <vertical/>
                <horizontal/>
              </border>
            </x14:dxf>
          </x14:cfRule>
          <xm:sqref>B108 D108 B110 D110 B122 B126 D126 B128 D128 B130 D130 B138 D138 B142 D142 B144 D144 B146 D146 B148 D148 B150 D150 B152 D152 B154 D154 B156 D156 B158 D158 B160 D160 B162 D162 B166 D166 B168 D168 B170 D170 D122 D132 B132</xm:sqref>
        </x14:conditionalFormatting>
        <x14:conditionalFormatting xmlns:xm="http://schemas.microsoft.com/office/excel/2006/main">
          <x14:cfRule type="expression" priority="38" id="{A8ABFE47-61A4-4601-AD96-B57ED9D0AD18}">
            <xm:f>$D$26='Data lists'!$I$1</xm:f>
            <x14:dxf>
              <border>
                <left style="thin">
                  <color auto="1"/>
                </left>
                <right style="thin">
                  <color auto="1"/>
                </right>
                <top style="thin">
                  <color auto="1"/>
                </top>
                <bottom style="thin">
                  <color auto="1"/>
                </bottom>
                <vertical/>
                <horizontal/>
              </border>
            </x14:dxf>
          </x14:cfRule>
          <xm:sqref>B188 D188 F188 H188 B190 D190 F190 H190</xm:sqref>
        </x14:conditionalFormatting>
        <x14:conditionalFormatting xmlns:xm="http://schemas.microsoft.com/office/excel/2006/main">
          <x14:cfRule type="expression" priority="29" id="{03FB8203-8F8F-4B8E-B4E0-92C980EFF902}">
            <xm:f>$D$12='Data lists'!$I$1</xm:f>
            <x14:dxf>
              <font>
                <b/>
                <i val="0"/>
                <color theme="0"/>
              </font>
              <fill>
                <patternFill>
                  <bgColor theme="4" tint="-0.499984740745262"/>
                </patternFill>
              </fill>
            </x14:dxf>
          </x14:cfRule>
          <xm:sqref>B30:D30</xm:sqref>
        </x14:conditionalFormatting>
        <x14:conditionalFormatting xmlns:xm="http://schemas.microsoft.com/office/excel/2006/main">
          <x14:cfRule type="expression" priority="28" id="{71975266-CA19-4961-A1F5-FD7C61605B5E}">
            <xm:f>$D$12='Data lists'!$I$1</xm:f>
            <x14:dxf>
              <font>
                <b/>
                <i val="0"/>
                <color theme="0"/>
              </font>
              <fill>
                <patternFill>
                  <bgColor theme="4" tint="-0.499984740745262"/>
                </patternFill>
              </fill>
            </x14:dxf>
          </x14:cfRule>
          <xm:sqref>B54:D54</xm:sqref>
        </x14:conditionalFormatting>
        <x14:conditionalFormatting xmlns:xm="http://schemas.microsoft.com/office/excel/2006/main">
          <x14:cfRule type="expression" priority="27" id="{A169D8B2-E9D5-4199-ACC0-9F2C7BDCAA39}">
            <xm:f>$D$12='Data lists'!$I$1</xm:f>
            <x14:dxf>
              <font>
                <b/>
                <i val="0"/>
                <color theme="0"/>
              </font>
              <fill>
                <patternFill>
                  <bgColor theme="4" tint="-0.499984740745262"/>
                </patternFill>
              </fill>
            </x14:dxf>
          </x14:cfRule>
          <xm:sqref>B74:D74</xm:sqref>
        </x14:conditionalFormatting>
        <x14:conditionalFormatting xmlns:xm="http://schemas.microsoft.com/office/excel/2006/main">
          <x14:cfRule type="expression" priority="26" id="{47E7590B-F4FD-4EE5-8E17-BFEBB34C7809}">
            <xm:f>$D$20='Data lists'!$I$1</xm:f>
            <x14:dxf>
              <font>
                <b/>
                <i val="0"/>
                <color theme="0"/>
              </font>
              <fill>
                <patternFill>
                  <bgColor theme="4" tint="-0.499984740745262"/>
                </patternFill>
              </fill>
            </x14:dxf>
          </x14:cfRule>
          <xm:sqref>B86:D86</xm:sqref>
        </x14:conditionalFormatting>
        <x14:conditionalFormatting xmlns:xm="http://schemas.microsoft.com/office/excel/2006/main">
          <x14:cfRule type="expression" priority="25" id="{1982D9F5-1B4E-4C65-B766-A9DA8F086135}">
            <xm:f>$D$22='Data lists'!$I$1</xm:f>
            <x14:dxf>
              <font>
                <b/>
                <i val="0"/>
                <color theme="0"/>
              </font>
              <fill>
                <patternFill>
                  <bgColor theme="4" tint="-0.499984740745262"/>
                </patternFill>
              </fill>
            </x14:dxf>
          </x14:cfRule>
          <xm:sqref>B96:D96</xm:sqref>
        </x14:conditionalFormatting>
        <x14:conditionalFormatting xmlns:xm="http://schemas.microsoft.com/office/excel/2006/main">
          <x14:cfRule type="expression" priority="24" id="{8E6AA13B-9ADD-4D1C-BB77-4B10F01B3396}">
            <xm:f>$D$18='Data lists'!$I$1</xm:f>
            <x14:dxf>
              <font>
                <b/>
                <i val="0"/>
                <color theme="0"/>
              </font>
              <fill>
                <patternFill>
                  <bgColor theme="4" tint="-0.499984740745262"/>
                </patternFill>
              </fill>
            </x14:dxf>
          </x14:cfRule>
          <xm:sqref>B106:D106</xm:sqref>
        </x14:conditionalFormatting>
        <x14:conditionalFormatting xmlns:xm="http://schemas.microsoft.com/office/excel/2006/main">
          <x14:cfRule type="expression" priority="23" id="{36E414B1-FA27-4D30-8CE4-031FE0D7ED77}">
            <xm:f>$D$26='Data lists'!$I$1</xm:f>
            <x14:dxf>
              <font>
                <b/>
                <i val="0"/>
              </font>
              <fill>
                <patternFill>
                  <bgColor theme="4" tint="-0.499984740745262"/>
                </patternFill>
              </fill>
            </x14:dxf>
          </x14:cfRule>
          <xm:sqref>B186:D186</xm:sqref>
        </x14:conditionalFormatting>
        <x14:conditionalFormatting xmlns:xm="http://schemas.microsoft.com/office/excel/2006/main">
          <x14:cfRule type="expression" priority="15" id="{06A518E6-FB4E-4EB1-A75E-F33F355853C8}">
            <xm:f>$D$18='Data lists'!$I$1</xm:f>
            <x14:dxf>
              <border>
                <left style="thin">
                  <color auto="1"/>
                </left>
                <right style="thin">
                  <color auto="1"/>
                </right>
                <top style="thin">
                  <color auto="1"/>
                </top>
                <bottom style="thin">
                  <color auto="1"/>
                </bottom>
                <vertical/>
                <horizontal/>
              </border>
            </x14:dxf>
          </x14:cfRule>
          <xm:sqref>B172 D172 B174 D174 B176 D176 B178 D178 B180 D180 B182 D182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408945ED-1F72-4956-B908-4CEA86BBD5F3}">
          <x14:formula1>
            <xm:f>'Data lists'!$C$1:$C$2</xm:f>
          </x14:formula1>
          <xm:sqref>D28 D14 D16 D32 D34 D36 D38 D40 D42 D44 D46 D94 D76 D80 D82 D84 D72 D70 D68 D66 D64 D62 D60 D56 D108 D110 D122 D126 D128 D130 D138 D142 D144 D146 D148 D150 D152 D154 D156 D158 D160 D162 D166 D168 D112 D114 D116 D120 D118 H114 H112 H122 D124 D194 D200 D206 D212 D132:D133 D135:D136 D170:D185 D24 D104 D102 H102 H92 D92 D50 D52 D198</xm:sqref>
        </x14:dataValidation>
        <x14:dataValidation type="list" allowBlank="1" showInputMessage="1" showErrorMessage="1" xr:uid="{4FF2993B-4718-4820-B5D0-29E1E9DFD9D9}">
          <x14:formula1>
            <xm:f>'Data lists'!$I$1:$I$4</xm:f>
          </x14:formula1>
          <xm:sqref>D18 D20 D12 D26 D22:D23</xm:sqref>
        </x14:dataValidation>
        <x14:dataValidation type="list" allowBlank="1" showInputMessage="1" showErrorMessage="1" xr:uid="{371C9FC5-E3A1-4128-8390-AD3CD449B39D}">
          <x14:formula1>
            <xm:f>'Data lists'!$O$1:$O$3</xm:f>
          </x14:formula1>
          <xm:sqref>H152</xm:sqref>
        </x14:dataValidation>
        <x14:dataValidation type="list" allowBlank="1" showInputMessage="1" showErrorMessage="1" xr:uid="{AF3B8F6E-E8A3-4D4E-9BA3-0269BB95E69E}">
          <x14:formula1>
            <xm:f>'Data lists'!$O$1:$O$4</xm:f>
          </x14:formula1>
          <xm:sqref>D140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D81C0-E4A7-492C-957E-F6FC98520A67}">
  <sheetPr>
    <tabColor theme="5" tint="0.39997558519241921"/>
  </sheetPr>
  <dimension ref="B1:J127"/>
  <sheetViews>
    <sheetView showGridLines="0" zoomScaleNormal="100" workbookViewId="0">
      <pane xSplit="1" ySplit="9" topLeftCell="B15" activePane="bottomRight" state="frozen"/>
      <selection pane="topRight" activeCell="G12" sqref="G12"/>
      <selection pane="bottomLeft" activeCell="G12" sqref="G12"/>
      <selection pane="bottomRight" activeCell="D24" sqref="D24"/>
    </sheetView>
  </sheetViews>
  <sheetFormatPr defaultColWidth="9.1796875" defaultRowHeight="15.5" x14ac:dyDescent="0.35"/>
  <cols>
    <col min="1" max="1" width="3.7265625" style="2" customWidth="1"/>
    <col min="2" max="2" width="40.7265625" style="2" customWidth="1"/>
    <col min="3" max="3" width="3.7265625" style="2" customWidth="1"/>
    <col min="4" max="4" width="40.7265625" style="2" customWidth="1"/>
    <col min="5" max="5" width="3.7265625" style="2" customWidth="1"/>
    <col min="6" max="6" width="40.7265625" style="2" customWidth="1"/>
    <col min="7" max="7" width="3.7265625" style="2" customWidth="1"/>
    <col min="8" max="8" width="40.7265625" style="2" customWidth="1"/>
    <col min="9" max="9" width="20.54296875" style="2" customWidth="1"/>
    <col min="10" max="10" width="20.7265625" style="2" customWidth="1"/>
    <col min="11" max="16384" width="9.1796875" style="2"/>
  </cols>
  <sheetData>
    <row r="1" spans="2:10" customFormat="1" ht="16" thickBot="1" x14ac:dyDescent="0.4">
      <c r="B1" s="2"/>
    </row>
    <row r="2" spans="2:10" customFormat="1" ht="16" thickBot="1" x14ac:dyDescent="0.4">
      <c r="B2" s="193" t="s">
        <v>10</v>
      </c>
      <c r="C2" s="194"/>
      <c r="D2" s="195"/>
      <c r="F2" s="179" t="s">
        <v>11</v>
      </c>
      <c r="G2" s="180"/>
      <c r="H2" s="180"/>
      <c r="I2" s="181"/>
    </row>
    <row r="3" spans="2:10" customFormat="1" x14ac:dyDescent="0.35">
      <c r="B3" s="2"/>
      <c r="F3" s="165"/>
      <c r="G3" s="166"/>
      <c r="H3" s="166"/>
      <c r="I3" s="167"/>
    </row>
    <row r="4" spans="2:10" customFormat="1" x14ac:dyDescent="0.35">
      <c r="B4" s="5" t="s">
        <v>12</v>
      </c>
      <c r="D4" s="1" t="str">
        <f>IF('Building Description'!D4="","",'Building Description'!D4)</f>
        <v/>
      </c>
      <c r="F4" s="165"/>
      <c r="G4" s="166"/>
      <c r="H4" s="166"/>
      <c r="I4" s="167"/>
    </row>
    <row r="5" spans="2:10" customFormat="1" x14ac:dyDescent="0.35">
      <c r="B5" s="2"/>
      <c r="F5" s="165"/>
      <c r="G5" s="166"/>
      <c r="H5" s="166"/>
      <c r="I5" s="167"/>
    </row>
    <row r="6" spans="2:10" customFormat="1" x14ac:dyDescent="0.35">
      <c r="B6" s="5" t="s">
        <v>13</v>
      </c>
      <c r="D6" s="1" t="str">
        <f>IF('Building Description'!D6="","",'Building Description'!D6)</f>
        <v/>
      </c>
      <c r="F6" s="165"/>
      <c r="G6" s="166"/>
      <c r="H6" s="166"/>
      <c r="I6" s="167"/>
    </row>
    <row r="7" spans="2:10" customFormat="1" x14ac:dyDescent="0.35">
      <c r="B7" s="2"/>
      <c r="F7" s="165"/>
      <c r="G7" s="166"/>
      <c r="H7" s="166"/>
      <c r="I7" s="167"/>
    </row>
    <row r="8" spans="2:10" customFormat="1" x14ac:dyDescent="0.35">
      <c r="B8" s="5" t="s">
        <v>14</v>
      </c>
      <c r="D8" s="1" t="str">
        <f>IF('Building Description'!D8="","",'Building Description'!D8)</f>
        <v/>
      </c>
      <c r="F8" s="165"/>
      <c r="G8" s="166"/>
      <c r="H8" s="166"/>
      <c r="I8" s="167"/>
    </row>
    <row r="9" spans="2:10" customFormat="1" ht="16" thickBot="1" x14ac:dyDescent="0.4">
      <c r="B9" s="2"/>
      <c r="F9" s="168"/>
      <c r="G9" s="169"/>
      <c r="H9" s="169"/>
      <c r="I9" s="170"/>
    </row>
    <row r="10" spans="2:10" ht="16" thickBot="1" x14ac:dyDescent="0.4">
      <c r="B10" s="182" t="s">
        <v>105</v>
      </c>
      <c r="C10" s="183"/>
      <c r="D10" s="184"/>
    </row>
    <row r="12" spans="2:10" x14ac:dyDescent="0.35">
      <c r="B12" s="6" t="s">
        <v>106</v>
      </c>
      <c r="D12" s="67"/>
      <c r="F12" s="2" t="str">
        <f>IF(D12="Y","Responsibility for Grounds sits with","")</f>
        <v/>
      </c>
      <c r="H12" s="68" t="s">
        <v>94</v>
      </c>
    </row>
    <row r="13" spans="2:10" x14ac:dyDescent="0.35">
      <c r="B13" s="7"/>
      <c r="F13" s="7"/>
    </row>
    <row r="14" spans="2:10" x14ac:dyDescent="0.35">
      <c r="B14" s="6" t="s">
        <v>107</v>
      </c>
      <c r="D14" s="67"/>
      <c r="F14" s="2" t="str">
        <f>IF(D14="Y","Go to cell 92","")</f>
        <v/>
      </c>
    </row>
    <row r="15" spans="2:10" x14ac:dyDescent="0.35">
      <c r="B15" s="7"/>
      <c r="F15" s="7"/>
    </row>
    <row r="16" spans="2:10" x14ac:dyDescent="0.35">
      <c r="B16" s="6" t="s">
        <v>108</v>
      </c>
      <c r="D16" s="67"/>
      <c r="F16" s="2" t="str">
        <f>IF(D16="Y","Responsibility for Trees sits with","")</f>
        <v/>
      </c>
      <c r="H16" s="68"/>
      <c r="J16" s="2" t="str">
        <f>IF(H16='Data lists'!I1,"Go to cell 74","")</f>
        <v/>
      </c>
    </row>
    <row r="17" spans="2:10" x14ac:dyDescent="0.35">
      <c r="B17" s="7"/>
      <c r="F17" s="7"/>
    </row>
    <row r="18" spans="2:10" x14ac:dyDescent="0.35">
      <c r="B18" s="6" t="s">
        <v>109</v>
      </c>
      <c r="D18" s="67"/>
      <c r="F18" s="17" t="str">
        <f>IF(D18="Y","Responsibility for water features sits with","")</f>
        <v/>
      </c>
      <c r="H18" s="68"/>
      <c r="J18" s="2" t="str">
        <f>IF(H18='Data lists'!I1,"Go to cell 86","")</f>
        <v/>
      </c>
    </row>
    <row r="19" spans="2:10" x14ac:dyDescent="0.35">
      <c r="B19" s="7"/>
    </row>
    <row r="20" spans="2:10" x14ac:dyDescent="0.35">
      <c r="B20" s="7" t="str">
        <f>IF(AND(H12="Business unit (this contract)", D4="DVSA"),"Site has a manouvering area","")</f>
        <v/>
      </c>
      <c r="D20" s="68"/>
      <c r="F20" s="2" t="str">
        <f>IF(D20="Y","Go to cell 54","")</f>
        <v/>
      </c>
    </row>
    <row r="21" spans="2:10" x14ac:dyDescent="0.35">
      <c r="B21" s="7"/>
    </row>
    <row r="22" spans="2:10" x14ac:dyDescent="0.35">
      <c r="B22" s="7" t="str">
        <f>IF(H12="Business unit (this contract)","Hard Landscaping required","")</f>
        <v>Hard Landscaping required</v>
      </c>
      <c r="D22" s="68"/>
      <c r="F22" s="2" t="str">
        <f>IF(D22="Y","Go to cell 30","")</f>
        <v/>
      </c>
    </row>
    <row r="23" spans="2:10" x14ac:dyDescent="0.35">
      <c r="B23" s="7"/>
    </row>
    <row r="24" spans="2:10" x14ac:dyDescent="0.35">
      <c r="B24" s="7" t="str">
        <f>IF(H12="Business unit (this contract)","Soft Landscaping required","")</f>
        <v>Soft Landscaping required</v>
      </c>
      <c r="D24" s="68"/>
      <c r="F24" s="2" t="str">
        <f>IF(D24="Y","Go to cell 62","")</f>
        <v/>
      </c>
    </row>
    <row r="25" spans="2:10" x14ac:dyDescent="0.35">
      <c r="B25" s="7"/>
    </row>
    <row r="26" spans="2:10" x14ac:dyDescent="0.35">
      <c r="B26" s="7" t="str">
        <f>IF(H12="Business unit (this contract)","Snow and ice clearance required","")</f>
        <v>Snow and ice clearance required</v>
      </c>
      <c r="D26" s="68"/>
      <c r="F26" s="2" t="str">
        <f>IF(D26="Y","Go to cell 48","")</f>
        <v/>
      </c>
    </row>
    <row r="27" spans="2:10" x14ac:dyDescent="0.35">
      <c r="B27" s="7"/>
    </row>
    <row r="28" spans="2:10" x14ac:dyDescent="0.35">
      <c r="B28" s="2" t="str">
        <f>IF(H12='Data lists'!I1,"Is litter picking required","")</f>
        <v>Is litter picking required</v>
      </c>
      <c r="D28" s="68"/>
      <c r="F28" s="2" t="str">
        <f>IF(D28="Y","Frequency","")</f>
        <v/>
      </c>
      <c r="H28" s="68"/>
    </row>
    <row r="29" spans="2:10" x14ac:dyDescent="0.35">
      <c r="B29" s="7"/>
    </row>
    <row r="30" spans="2:10" x14ac:dyDescent="0.35">
      <c r="B30" s="192" t="str">
        <f>IF(D22="Y","Hard Landscaping","")</f>
        <v/>
      </c>
      <c r="C30" s="192"/>
      <c r="D30" s="192"/>
    </row>
    <row r="31" spans="2:10" x14ac:dyDescent="0.35">
      <c r="B31" s="7"/>
    </row>
    <row r="32" spans="2:10" x14ac:dyDescent="0.35">
      <c r="B32" s="7" t="str">
        <f>IF(D22="Y","Leaf clearance","")</f>
        <v/>
      </c>
      <c r="D32" s="68"/>
      <c r="F32" s="2" t="str">
        <f>IF(D32="Y","Detail","")</f>
        <v/>
      </c>
      <c r="H32" s="68"/>
    </row>
    <row r="33" spans="2:8" x14ac:dyDescent="0.35">
      <c r="B33" s="7"/>
    </row>
    <row r="34" spans="2:8" x14ac:dyDescent="0.35">
      <c r="B34" s="7" t="str">
        <f>IF(D22="Y","Moss / lichen control (excluding MMA's)","")</f>
        <v/>
      </c>
      <c r="D34" s="68"/>
      <c r="F34" s="2" t="str">
        <f>IF(D34="Y","Detail","")</f>
        <v/>
      </c>
      <c r="H34" s="68"/>
    </row>
    <row r="35" spans="2:8" x14ac:dyDescent="0.35">
      <c r="B35" s="7"/>
    </row>
    <row r="36" spans="2:8" x14ac:dyDescent="0.35">
      <c r="B36" s="7" t="str">
        <f>IF(D22="Y","Street Furniture","")</f>
        <v/>
      </c>
      <c r="D36" s="68"/>
      <c r="F36" s="2" t="str">
        <f>IF(D36&gt;"","Detail","")</f>
        <v/>
      </c>
      <c r="H36" s="68"/>
    </row>
    <row r="38" spans="2:8" x14ac:dyDescent="0.35">
      <c r="B38" s="7" t="str">
        <f>IF(D22="Y","External signage","")</f>
        <v/>
      </c>
      <c r="D38" s="68"/>
      <c r="F38" s="2" t="str">
        <f>IF(D38="Y","Number and location","")</f>
        <v/>
      </c>
      <c r="H38" s="68"/>
    </row>
    <row r="39" spans="2:8" x14ac:dyDescent="0.35">
      <c r="B39" s="7"/>
    </row>
    <row r="40" spans="2:8" x14ac:dyDescent="0.35">
      <c r="B40" s="7" t="str">
        <f>IF(D22="Y","Helecopter landing pad structural maintenance","")</f>
        <v/>
      </c>
      <c r="D40" s="68"/>
    </row>
    <row r="41" spans="2:8" x14ac:dyDescent="0.35">
      <c r="B41" s="7"/>
    </row>
    <row r="42" spans="2:8" x14ac:dyDescent="0.35">
      <c r="B42" s="2" t="str">
        <f>IF(D40="Y","lighting maintenance","")</f>
        <v/>
      </c>
      <c r="D42" s="68"/>
      <c r="F42" s="2" t="str">
        <f>IF(D42="Y","Maintenance Level","")</f>
        <v/>
      </c>
    </row>
    <row r="43" spans="2:8" x14ac:dyDescent="0.35">
      <c r="B43" s="7"/>
    </row>
    <row r="44" spans="2:8" x14ac:dyDescent="0.35">
      <c r="B44" s="7" t="str">
        <f>IF(D40="Y","Landing pad painting","")</f>
        <v/>
      </c>
      <c r="D44" s="68"/>
      <c r="F44" s="2" t="str">
        <f>IF(D44="Y","Maintenance Level","")</f>
        <v/>
      </c>
      <c r="H44" s="68"/>
    </row>
    <row r="45" spans="2:8" x14ac:dyDescent="0.35">
      <c r="B45" s="7"/>
    </row>
    <row r="46" spans="2:8" x14ac:dyDescent="0.35">
      <c r="B46" s="7" t="str">
        <f>IF(H12='Data lists'!I1,"Site has Smoking / Vaping or shelters","")</f>
        <v>Site has Smoking / Vaping or shelters</v>
      </c>
      <c r="D46" s="68"/>
      <c r="F46" s="2" t="str">
        <f>IF(D46="Y","Do these require cleaning","")</f>
        <v/>
      </c>
      <c r="H46" s="68" t="s">
        <v>36</v>
      </c>
    </row>
    <row r="47" spans="2:8" x14ac:dyDescent="0.35">
      <c r="B47" s="7"/>
    </row>
    <row r="48" spans="2:8" x14ac:dyDescent="0.35">
      <c r="B48" s="192" t="str">
        <f>IF(D26="Y","Snow and ice clearance","")</f>
        <v/>
      </c>
      <c r="C48" s="192"/>
      <c r="D48" s="192"/>
    </row>
    <row r="49" spans="2:8" x14ac:dyDescent="0.35">
      <c r="B49" s="7"/>
    </row>
    <row r="50" spans="2:8" x14ac:dyDescent="0.35">
      <c r="B50" s="7" t="str">
        <f>IF(D26="Y","Reactive clearance","")</f>
        <v/>
      </c>
      <c r="D50" s="68"/>
      <c r="F50" s="2" t="str">
        <f>IF(D50="Y","Trigger","")</f>
        <v/>
      </c>
      <c r="H50" s="69"/>
    </row>
    <row r="51" spans="2:8" x14ac:dyDescent="0.35">
      <c r="B51" s="7"/>
    </row>
    <row r="52" spans="2:8" x14ac:dyDescent="0.35">
      <c r="B52" s="7" t="str">
        <f>IF(D26="Y","Planned clearance","")</f>
        <v/>
      </c>
      <c r="D52" s="68"/>
      <c r="F52" s="2" t="str">
        <f>IF(D52="Y","Frequency","")</f>
        <v/>
      </c>
      <c r="H52" s="68"/>
    </row>
    <row r="53" spans="2:8" x14ac:dyDescent="0.35">
      <c r="B53" s="7"/>
    </row>
    <row r="54" spans="2:8" x14ac:dyDescent="0.35">
      <c r="B54" s="192" t="str">
        <f>IF(D20="Y","Manouvering area","")</f>
        <v/>
      </c>
      <c r="C54" s="192"/>
      <c r="D54" s="192"/>
    </row>
    <row r="55" spans="2:8" x14ac:dyDescent="0.35">
      <c r="B55" s="7"/>
    </row>
    <row r="56" spans="2:8" x14ac:dyDescent="0.35">
      <c r="B56" s="7" t="str">
        <f>IF(D20="Y","Manoeuvring area maintenance required","")</f>
        <v/>
      </c>
      <c r="D56" s="68"/>
      <c r="F56" s="2" t="str">
        <f>IF(D56="Y","Type","")</f>
        <v/>
      </c>
      <c r="H56" s="68"/>
    </row>
    <row r="57" spans="2:8" x14ac:dyDescent="0.35">
      <c r="B57" s="7"/>
    </row>
    <row r="58" spans="2:8" x14ac:dyDescent="0.35">
      <c r="B58" s="7" t="str">
        <f>IF(D20="Y","Manoeuvring area inspection programme required","")</f>
        <v/>
      </c>
      <c r="D58" s="68"/>
      <c r="F58" s="2" t="str">
        <f>IF(D56="Y","Detail","")</f>
        <v/>
      </c>
    </row>
    <row r="59" spans="2:8" x14ac:dyDescent="0.35">
      <c r="B59" s="7"/>
    </row>
    <row r="60" spans="2:8" x14ac:dyDescent="0.35">
      <c r="B60" s="7" t="str">
        <f>IF(D20="Y","Moss clearance required","")</f>
        <v/>
      </c>
      <c r="D60" s="68"/>
    </row>
    <row r="61" spans="2:8" x14ac:dyDescent="0.35">
      <c r="B61" s="7"/>
    </row>
    <row r="62" spans="2:8" x14ac:dyDescent="0.35">
      <c r="B62" s="192" t="str">
        <f>IF(D24="Y","Soft Landscaping","")</f>
        <v/>
      </c>
      <c r="C62" s="192"/>
      <c r="D62" s="192"/>
    </row>
    <row r="63" spans="2:8" x14ac:dyDescent="0.35">
      <c r="B63" s="7"/>
    </row>
    <row r="64" spans="2:8" x14ac:dyDescent="0.35">
      <c r="B64" s="7" t="str">
        <f>IF(D24="Y","Grassed areas","")</f>
        <v/>
      </c>
      <c r="D64" s="68"/>
      <c r="F64" s="17" t="str">
        <f>IF(D64="Y","Detail","")</f>
        <v/>
      </c>
      <c r="H64" s="68"/>
    </row>
    <row r="65" spans="2:8" x14ac:dyDescent="0.35">
      <c r="B65" s="7"/>
    </row>
    <row r="66" spans="2:8" ht="29.25" customHeight="1" x14ac:dyDescent="0.35">
      <c r="B66" s="7" t="str">
        <f>IF(D24="Y","Grassed areas with paving","")</f>
        <v/>
      </c>
      <c r="D66" s="68"/>
      <c r="F66" s="2" t="str">
        <f>IF(D66="Y","Detail","")</f>
        <v/>
      </c>
      <c r="H66" s="68"/>
    </row>
    <row r="67" spans="2:8" x14ac:dyDescent="0.35">
      <c r="B67" s="7"/>
    </row>
    <row r="68" spans="2:8" ht="33" customHeight="1" x14ac:dyDescent="0.35">
      <c r="B68" s="7" t="str">
        <f>IF(D24="Y","Bedding / Shrub areas","")</f>
        <v/>
      </c>
      <c r="D68" s="68"/>
      <c r="F68" s="2" t="str">
        <f>IF(D68="Y","Detail","")</f>
        <v/>
      </c>
      <c r="H68" s="68"/>
    </row>
    <row r="69" spans="2:8" x14ac:dyDescent="0.35">
      <c r="B69" s="7"/>
    </row>
    <row r="70" spans="2:8" ht="31.5" customHeight="1" x14ac:dyDescent="0.35">
      <c r="B70" s="7" t="str">
        <f>IF(D24="Y","Hedges","")</f>
        <v/>
      </c>
      <c r="D70" s="68"/>
      <c r="F70" s="17" t="str">
        <f>IF(D70="Y","Access equipment will be required to maintain trees at current height","")</f>
        <v/>
      </c>
      <c r="H70" s="68"/>
    </row>
    <row r="71" spans="2:8" x14ac:dyDescent="0.35">
      <c r="B71" s="7"/>
    </row>
    <row r="72" spans="2:8" x14ac:dyDescent="0.35">
      <c r="B72" s="7" t="str">
        <f>IF(D24="Y","History of invasive species on site","")</f>
        <v/>
      </c>
      <c r="D72" s="68"/>
      <c r="F72" s="2" t="str">
        <f>IF(D72="Y","Detail","")</f>
        <v/>
      </c>
      <c r="H72" s="68"/>
    </row>
    <row r="73" spans="2:8" x14ac:dyDescent="0.35">
      <c r="B73" s="7"/>
    </row>
    <row r="74" spans="2:8" x14ac:dyDescent="0.35">
      <c r="B74" s="192" t="str">
        <f>IF(H16="Business unit (this contract)","Trees","")</f>
        <v/>
      </c>
      <c r="C74" s="192"/>
      <c r="D74" s="192"/>
    </row>
    <row r="75" spans="2:8" x14ac:dyDescent="0.35">
      <c r="B75" s="7"/>
    </row>
    <row r="76" spans="2:8" x14ac:dyDescent="0.35">
      <c r="B76" s="7" t="str">
        <f>IF(H16="Business unit (this contract)","Number of trees requiring maintenance","")</f>
        <v/>
      </c>
      <c r="D76" s="68"/>
      <c r="F76" s="2" t="str">
        <f>IF(D76&gt;0,"Detail","")</f>
        <v/>
      </c>
      <c r="H76" s="68"/>
    </row>
    <row r="77" spans="2:8" x14ac:dyDescent="0.35">
      <c r="B77" s="7"/>
    </row>
    <row r="78" spans="2:8" x14ac:dyDescent="0.35">
      <c r="B78" s="7" t="str">
        <f>IF(H16="Business unit (this contract)", "Tree Preservation Orders","")</f>
        <v/>
      </c>
      <c r="D78" s="68"/>
      <c r="F78" s="2" t="str">
        <f>IF(D78="Y","Report available","")</f>
        <v/>
      </c>
      <c r="H78" s="68"/>
    </row>
    <row r="79" spans="2:8" x14ac:dyDescent="0.35">
      <c r="B79" s="7"/>
    </row>
    <row r="80" spans="2:8" x14ac:dyDescent="0.35">
      <c r="B80" s="7" t="str">
        <f>IF(H16="Business unit (this contract)", "Tree survey available","")</f>
        <v/>
      </c>
      <c r="D80" s="68"/>
      <c r="F80" s="2" t="str">
        <f>IF(D80="Y", "Dated","")</f>
        <v/>
      </c>
      <c r="H80" s="68"/>
    </row>
    <row r="81" spans="2:8" x14ac:dyDescent="0.35">
      <c r="B81" s="7"/>
    </row>
    <row r="82" spans="2:8" x14ac:dyDescent="0.35">
      <c r="B82" s="7" t="str">
        <f>IF(H16="Business unit (this contract)", "Tree survey required","")</f>
        <v/>
      </c>
      <c r="D82" s="68"/>
      <c r="F82" s="4" t="str">
        <f>IF(D82="Y","Frequency","")</f>
        <v/>
      </c>
      <c r="H82" s="68"/>
    </row>
    <row r="83" spans="2:8" x14ac:dyDescent="0.35">
      <c r="B83" s="7"/>
      <c r="F83" s="4"/>
    </row>
    <row r="84" spans="2:8" ht="32.25" customHeight="1" x14ac:dyDescent="0.35">
      <c r="B84" s="7" t="str">
        <f>IF(D16="Y","Access equipment will be required to maintain trees at current height","")</f>
        <v/>
      </c>
      <c r="D84" s="69"/>
      <c r="E84" s="17"/>
      <c r="F84" s="196" t="str">
        <f>IF(D84&gt;0,"Note: Working at Height Regulations apply where maintenance cannot be carried out at ground level.  Accepted industry standard is over 2.4 meters","")</f>
        <v/>
      </c>
      <c r="G84" s="196"/>
      <c r="H84" s="196"/>
    </row>
    <row r="85" spans="2:8" x14ac:dyDescent="0.35">
      <c r="B85" s="7"/>
    </row>
    <row r="86" spans="2:8" x14ac:dyDescent="0.35">
      <c r="B86" s="192" t="str">
        <f>IF(H18="Business unit (this contract)","Water Features","")</f>
        <v/>
      </c>
      <c r="C86" s="192"/>
      <c r="D86" s="192"/>
    </row>
    <row r="87" spans="2:8" x14ac:dyDescent="0.35">
      <c r="B87" s="7"/>
    </row>
    <row r="88" spans="2:8" x14ac:dyDescent="0.35">
      <c r="B88" s="7" t="str">
        <f>IF(H18="Business unit (this contract)","Clarify what is to be maintained: Reservoirs, ponds, river walls, balancing ponds etc.","")</f>
        <v/>
      </c>
      <c r="D88" s="68"/>
    </row>
    <row r="89" spans="2:8" x14ac:dyDescent="0.35">
      <c r="B89" s="7"/>
    </row>
    <row r="90" spans="2:8" x14ac:dyDescent="0.35">
      <c r="B90" s="7" t="str">
        <f>IF(H18="Business unit (this contract)","Safety Equipment to be maintained","")</f>
        <v/>
      </c>
      <c r="D90" s="68"/>
      <c r="F90" s="17" t="str">
        <f>IF(D90="Y","Location and description of safety equipment","")</f>
        <v/>
      </c>
      <c r="H90" s="68"/>
    </row>
    <row r="91" spans="2:8" x14ac:dyDescent="0.35">
      <c r="B91" s="7"/>
    </row>
    <row r="92" spans="2:8" x14ac:dyDescent="0.35">
      <c r="B92" s="192" t="str">
        <f>IF(D14="Y","Drainage system maintenance","")</f>
        <v/>
      </c>
      <c r="C92" s="192"/>
      <c r="D92" s="192"/>
    </row>
    <row r="93" spans="2:8" x14ac:dyDescent="0.35">
      <c r="B93" s="7"/>
    </row>
    <row r="94" spans="2:8" ht="17.25" customHeight="1" x14ac:dyDescent="0.35">
      <c r="B94" s="7" t="str">
        <f>IF(D14="Y","Sewage treatment plant on site","")</f>
        <v/>
      </c>
      <c r="D94" s="68"/>
    </row>
    <row r="95" spans="2:8" ht="17.25" customHeight="1" x14ac:dyDescent="0.35">
      <c r="B95" s="7"/>
    </row>
    <row r="96" spans="2:8" x14ac:dyDescent="0.35">
      <c r="B96" s="7" t="str">
        <f>IF(D14="Y","Sewage treatment plant maintenance","")</f>
        <v/>
      </c>
      <c r="C96" s="16"/>
      <c r="D96" s="68"/>
      <c r="F96" s="2" t="str">
        <f>IF(D96="Y","Maintenance Level","")</f>
        <v/>
      </c>
      <c r="H96" s="68"/>
    </row>
    <row r="97" spans="2:8" x14ac:dyDescent="0.35">
      <c r="B97" s="7"/>
      <c r="C97" s="16"/>
      <c r="D97" s="16"/>
    </row>
    <row r="98" spans="2:8" x14ac:dyDescent="0.35">
      <c r="B98" s="7" t="str">
        <f>IF(D14="Y","Connected to mains drainage","")</f>
        <v/>
      </c>
      <c r="D98" s="68"/>
    </row>
    <row r="99" spans="2:8" x14ac:dyDescent="0.35">
      <c r="B99" s="7"/>
    </row>
    <row r="100" spans="2:8" x14ac:dyDescent="0.35">
      <c r="B100" s="7" t="str">
        <f>IF(D14="Y","Is site prone to flooding","")</f>
        <v/>
      </c>
      <c r="D100" s="68"/>
      <c r="F100" s="4"/>
    </row>
    <row r="101" spans="2:8" x14ac:dyDescent="0.35">
      <c r="B101" s="7"/>
    </row>
    <row r="102" spans="2:8" x14ac:dyDescent="0.35">
      <c r="B102" s="7" t="str">
        <f>IF(D14="Y","Drainage surveys required","")</f>
        <v/>
      </c>
      <c r="D102" s="68"/>
      <c r="F102" s="4" t="str">
        <f>IF(D102="Y","Frequency","")</f>
        <v/>
      </c>
      <c r="H102" s="68"/>
    </row>
    <row r="103" spans="2:8" x14ac:dyDescent="0.35">
      <c r="B103" s="7"/>
      <c r="F103" s="4"/>
    </row>
    <row r="104" spans="2:8" x14ac:dyDescent="0.35">
      <c r="B104" s="7" t="str">
        <f>IF(D14="Y","Drain clearance required","")</f>
        <v/>
      </c>
      <c r="D104" s="68"/>
      <c r="F104" s="4" t="str">
        <f>IF(D104="Y","Frequency","")</f>
        <v/>
      </c>
      <c r="H104" s="68"/>
    </row>
    <row r="105" spans="2:8" x14ac:dyDescent="0.35">
      <c r="B105" s="7"/>
      <c r="F105" s="4"/>
    </row>
    <row r="106" spans="2:8" x14ac:dyDescent="0.35">
      <c r="B106" s="7" t="str">
        <f>IF(D14="Y","Petrol interceptor maintenance","")</f>
        <v/>
      </c>
      <c r="D106" s="68"/>
      <c r="F106" s="4" t="str">
        <f>IF(D106="Y","Frequency","")</f>
        <v/>
      </c>
      <c r="H106" s="68"/>
    </row>
    <row r="107" spans="2:8" x14ac:dyDescent="0.35">
      <c r="B107" s="7"/>
    </row>
    <row r="108" spans="2:8" x14ac:dyDescent="0.35">
      <c r="B108" s="7" t="str">
        <f>IF(D106="Y","Maintenance Level","")</f>
        <v/>
      </c>
      <c r="D108" s="68"/>
    </row>
    <row r="109" spans="2:8" x14ac:dyDescent="0.35">
      <c r="B109" s="7"/>
    </row>
    <row r="110" spans="2:8" x14ac:dyDescent="0.35">
      <c r="B110" s="7" t="str">
        <f>IF(D14="Y","Petrol Interceptor emptying","")</f>
        <v/>
      </c>
      <c r="D110" s="68"/>
      <c r="F110" s="4" t="str">
        <f>IF(D110="Y","Frequency","")</f>
        <v/>
      </c>
      <c r="H110" s="68"/>
    </row>
    <row r="111" spans="2:8" x14ac:dyDescent="0.35">
      <c r="B111" s="7"/>
    </row>
    <row r="112" spans="2:8" x14ac:dyDescent="0.35">
      <c r="B112" s="7" t="str">
        <f>IF(D14="Y","Septic tank maintenance","")</f>
        <v/>
      </c>
      <c r="D112" s="68"/>
      <c r="F112" s="2" t="str">
        <f>IF(D112="Y","Capacity in cubic meters","")</f>
        <v/>
      </c>
      <c r="H112" s="68"/>
    </row>
    <row r="113" spans="2:8" x14ac:dyDescent="0.35">
      <c r="B113" s="7"/>
    </row>
    <row r="114" spans="2:8" x14ac:dyDescent="0.35">
      <c r="B114" s="7" t="str">
        <f>IF(D112="Y","Maintenance Level","")</f>
        <v/>
      </c>
      <c r="D114" s="68"/>
    </row>
    <row r="115" spans="2:8" x14ac:dyDescent="0.35">
      <c r="B115" s="7"/>
    </row>
    <row r="116" spans="2:8" x14ac:dyDescent="0.35">
      <c r="B116" s="7" t="str">
        <f>IF(D14="Y","Septic tank alarm maintenance","")</f>
        <v/>
      </c>
      <c r="D116" s="68"/>
      <c r="F116" s="4" t="str">
        <f>IF(D116="Y","Frequency","")</f>
        <v/>
      </c>
      <c r="H116" s="68"/>
    </row>
    <row r="117" spans="2:8" x14ac:dyDescent="0.35">
      <c r="B117" s="7"/>
    </row>
    <row r="118" spans="2:8" x14ac:dyDescent="0.35">
      <c r="B118" s="7" t="str">
        <f>IF(D116="Y","Maintenance Level","")</f>
        <v/>
      </c>
      <c r="D118" s="68"/>
    </row>
    <row r="119" spans="2:8" x14ac:dyDescent="0.35">
      <c r="B119" s="7"/>
    </row>
    <row r="120" spans="2:8" x14ac:dyDescent="0.35">
      <c r="B120" s="7" t="str">
        <f>IF(D14="Y","Septic tank emptying","")</f>
        <v/>
      </c>
      <c r="D120" s="68"/>
      <c r="F120" s="4" t="str">
        <f>IF(D120="Y","Frequency","")</f>
        <v/>
      </c>
      <c r="H120" s="68"/>
    </row>
    <row r="121" spans="2:8" x14ac:dyDescent="0.35">
      <c r="B121" s="7"/>
    </row>
    <row r="122" spans="2:8" x14ac:dyDescent="0.35">
      <c r="B122" s="7" t="str">
        <f>IF(D14="Y","Cess pit maintenance","")</f>
        <v/>
      </c>
      <c r="D122" s="68"/>
      <c r="F122" s="2" t="str">
        <f>IF(D122="Y","Capacity in cubic meters","")</f>
        <v/>
      </c>
      <c r="H122" s="68"/>
    </row>
    <row r="123" spans="2:8" x14ac:dyDescent="0.35">
      <c r="B123" s="7"/>
      <c r="D123" s="68"/>
      <c r="H123" s="68"/>
    </row>
    <row r="124" spans="2:8" x14ac:dyDescent="0.35">
      <c r="B124" s="7" t="str">
        <f>IF(D122="Y","Maintenance Level","")</f>
        <v/>
      </c>
      <c r="D124" s="68"/>
      <c r="H124" s="68"/>
    </row>
    <row r="125" spans="2:8" x14ac:dyDescent="0.35">
      <c r="B125" s="7"/>
    </row>
    <row r="126" spans="2:8" x14ac:dyDescent="0.35">
      <c r="B126" s="7" t="str">
        <f>IF(D14="Y","Cess pit emptying","")</f>
        <v/>
      </c>
      <c r="D126" s="68"/>
      <c r="F126" s="4" t="str">
        <f>IF(D126="Y","Frequency","")</f>
        <v/>
      </c>
      <c r="H126" s="68"/>
    </row>
    <row r="127" spans="2:8" x14ac:dyDescent="0.35">
      <c r="B127" s="7"/>
    </row>
  </sheetData>
  <sheetProtection algorithmName="SHA-512" hashValue="UzdF2JH4XIvx9kE8Bz1YvOB4cW7AvZgGArYdfN8viP6Ao+qfWP8xQep4S2lqgwfIPquhxD5EIM1+Gdvz+sF6fA==" saltValue="EHJBTBvJLHGX3v1YDxJIfw==" spinCount="100000" sheet="1" insertHyperlinks="0" autoFilter="0"/>
  <mergeCells count="12">
    <mergeCell ref="B74:D74"/>
    <mergeCell ref="B86:D86"/>
    <mergeCell ref="B92:D92"/>
    <mergeCell ref="B2:D2"/>
    <mergeCell ref="F84:H84"/>
    <mergeCell ref="B10:D10"/>
    <mergeCell ref="B48:D48"/>
    <mergeCell ref="B30:D30"/>
    <mergeCell ref="B54:D54"/>
    <mergeCell ref="B62:D62"/>
    <mergeCell ref="F2:I2"/>
    <mergeCell ref="F3:I9"/>
  </mergeCells>
  <conditionalFormatting sqref="F82 H82">
    <cfRule type="expression" dxfId="137" priority="83">
      <formula>$D$82="Y"</formula>
    </cfRule>
  </conditionalFormatting>
  <conditionalFormatting sqref="F91:F97 H91:H97">
    <cfRule type="expression" dxfId="136" priority="79">
      <formula>$D$91="Y"</formula>
    </cfRule>
  </conditionalFormatting>
  <conditionalFormatting sqref="B30:D30">
    <cfRule type="expression" dxfId="135" priority="76">
      <formula>$D$22="Y"</formula>
    </cfRule>
  </conditionalFormatting>
  <conditionalFormatting sqref="B48:D48">
    <cfRule type="expression" dxfId="134" priority="75">
      <formula>$D$26="Y"</formula>
    </cfRule>
  </conditionalFormatting>
  <conditionalFormatting sqref="B32 D32 B34 D34 B36 D36 B38 D38 D40 B40">
    <cfRule type="expression" dxfId="133" priority="74">
      <formula>$D$22="Y"</formula>
    </cfRule>
  </conditionalFormatting>
  <conditionalFormatting sqref="F38 H38">
    <cfRule type="expression" dxfId="132" priority="72">
      <formula>$D$38="Y"</formula>
    </cfRule>
  </conditionalFormatting>
  <conditionalFormatting sqref="D16 B22 D22 B24 D24 B26 D26 B16 D46 B46">
    <cfRule type="expression" dxfId="131" priority="70">
      <formula>$H$12="Business unit (this contract)"</formula>
    </cfRule>
  </conditionalFormatting>
  <conditionalFormatting sqref="B52 D52">
    <cfRule type="expression" dxfId="130" priority="68">
      <formula>$D$26="Y"</formula>
    </cfRule>
  </conditionalFormatting>
  <conditionalFormatting sqref="F52 H52">
    <cfRule type="expression" dxfId="129" priority="67">
      <formula>$D$52="Y"</formula>
    </cfRule>
  </conditionalFormatting>
  <conditionalFormatting sqref="B54:D54">
    <cfRule type="expression" dxfId="128" priority="65">
      <formula>$D$20="Y"</formula>
    </cfRule>
  </conditionalFormatting>
  <conditionalFormatting sqref="F12 H12">
    <cfRule type="expression" dxfId="127" priority="64">
      <formula>$D$12="Y"</formula>
    </cfRule>
  </conditionalFormatting>
  <conditionalFormatting sqref="B56 D56 B58 D58 B60 D60">
    <cfRule type="expression" dxfId="126" priority="62">
      <formula>$D$20="Y"</formula>
    </cfRule>
  </conditionalFormatting>
  <conditionalFormatting sqref="B62:D62">
    <cfRule type="expression" dxfId="125" priority="61">
      <formula>$D$24="Y"</formula>
    </cfRule>
  </conditionalFormatting>
  <conditionalFormatting sqref="F16 H16">
    <cfRule type="expression" dxfId="124" priority="58">
      <formula>$D$16="Y"</formula>
    </cfRule>
  </conditionalFormatting>
  <conditionalFormatting sqref="F18 H18">
    <cfRule type="expression" dxfId="123" priority="57">
      <formula>$D$18="Y"</formula>
    </cfRule>
  </conditionalFormatting>
  <conditionalFormatting sqref="H64 F64">
    <cfRule type="expression" dxfId="122" priority="56">
      <formula>$D$64="Y"</formula>
    </cfRule>
  </conditionalFormatting>
  <conditionalFormatting sqref="B64 D64 D66 B68 D68 B70 D70 B72 D72">
    <cfRule type="expression" dxfId="121" priority="55">
      <formula>$D$24="Y"</formula>
    </cfRule>
  </conditionalFormatting>
  <conditionalFormatting sqref="B66">
    <cfRule type="expression" dxfId="120" priority="54">
      <formula>$D$24="Y"</formula>
    </cfRule>
  </conditionalFormatting>
  <conditionalFormatting sqref="F66 H66">
    <cfRule type="expression" dxfId="119" priority="53">
      <formula>$D66="Y"</formula>
    </cfRule>
  </conditionalFormatting>
  <conditionalFormatting sqref="B74:D74">
    <cfRule type="expression" dxfId="118" priority="52">
      <formula>$H$16="Business unit (this contract)"</formula>
    </cfRule>
  </conditionalFormatting>
  <conditionalFormatting sqref="B78 D78 B80 D80 B82 D82 B84 D84">
    <cfRule type="expression" dxfId="117" priority="51">
      <formula>$H$16="Business unit (this contract)"</formula>
    </cfRule>
  </conditionalFormatting>
  <conditionalFormatting sqref="B86:D86">
    <cfRule type="expression" dxfId="116" priority="48">
      <formula>$H$18="Business unit (this contract)"</formula>
    </cfRule>
  </conditionalFormatting>
  <conditionalFormatting sqref="B88 D88 B90 D90">
    <cfRule type="expression" dxfId="115" priority="47">
      <formula>$H$18="Business unit (this contract)"</formula>
    </cfRule>
  </conditionalFormatting>
  <conditionalFormatting sqref="F90 H90">
    <cfRule type="expression" dxfId="114" priority="46">
      <formula>$D$90="Y"</formula>
    </cfRule>
  </conditionalFormatting>
  <conditionalFormatting sqref="B92:D92">
    <cfRule type="expression" dxfId="113" priority="45">
      <formula>$D$14="Y"</formula>
    </cfRule>
  </conditionalFormatting>
  <conditionalFormatting sqref="B94 D94 B96 B102 D102 B98 B104 B106 B110 B112 B116 B120 B122 B126 D96 D98 D104 D106 D110 D112 D116 D120 D122 D126 D100 B100">
    <cfRule type="expression" dxfId="112" priority="44">
      <formula>$D$14="Y"</formula>
    </cfRule>
  </conditionalFormatting>
  <conditionalFormatting sqref="F102 H102">
    <cfRule type="expression" dxfId="111" priority="43">
      <formula>$D$102="Y"</formula>
    </cfRule>
  </conditionalFormatting>
  <conditionalFormatting sqref="F104 H104">
    <cfRule type="expression" dxfId="110" priority="41">
      <formula>$D$104="Y"</formula>
    </cfRule>
  </conditionalFormatting>
  <conditionalFormatting sqref="H106 B108 D108">
    <cfRule type="expression" dxfId="109" priority="40">
      <formula>$D$106="Y"</formula>
    </cfRule>
  </conditionalFormatting>
  <conditionalFormatting sqref="F112 H112 B114 D114">
    <cfRule type="expression" dxfId="108" priority="39">
      <formula>$D$112="Y"</formula>
    </cfRule>
  </conditionalFormatting>
  <conditionalFormatting sqref="F106">
    <cfRule type="expression" dxfId="107" priority="38">
      <formula>$D$106="Y"</formula>
    </cfRule>
  </conditionalFormatting>
  <conditionalFormatting sqref="F110 H110">
    <cfRule type="expression" dxfId="106" priority="37">
      <formula>$D$110="Y"</formula>
    </cfRule>
  </conditionalFormatting>
  <conditionalFormatting sqref="F116 H116 D118">
    <cfRule type="expression" dxfId="105" priority="36">
      <formula>$D$116="Y"</formula>
    </cfRule>
  </conditionalFormatting>
  <conditionalFormatting sqref="F120 H120">
    <cfRule type="expression" dxfId="104" priority="35">
      <formula>$D$120="Y"</formula>
    </cfRule>
  </conditionalFormatting>
  <conditionalFormatting sqref="F122 H122 B124 D124">
    <cfRule type="expression" dxfId="103" priority="34">
      <formula>$D$122="Y"</formula>
    </cfRule>
  </conditionalFormatting>
  <conditionalFormatting sqref="D44 D46">
    <cfRule type="expression" dxfId="102" priority="32">
      <formula>$D$40="Y"</formula>
    </cfRule>
  </conditionalFormatting>
  <conditionalFormatting sqref="H44 F44">
    <cfRule type="expression" dxfId="101" priority="31">
      <formula>$D$44="Y"</formula>
    </cfRule>
  </conditionalFormatting>
  <conditionalFormatting sqref="B44 B46">
    <cfRule type="expression" dxfId="100" priority="30">
      <formula>$D$40="Y"</formula>
    </cfRule>
  </conditionalFormatting>
  <conditionalFormatting sqref="B50 D50">
    <cfRule type="expression" dxfId="99" priority="27">
      <formula>$D$26="Y"</formula>
    </cfRule>
  </conditionalFormatting>
  <conditionalFormatting sqref="H50 F50">
    <cfRule type="expression" dxfId="98" priority="177">
      <formula>#REF!="Y"</formula>
    </cfRule>
  </conditionalFormatting>
  <conditionalFormatting sqref="F84:H84">
    <cfRule type="expression" dxfId="97" priority="25">
      <formula>$D$84&gt;0</formula>
    </cfRule>
  </conditionalFormatting>
  <conditionalFormatting sqref="F80 H80">
    <cfRule type="expression" dxfId="96" priority="24">
      <formula>$D$80="Y"</formula>
    </cfRule>
  </conditionalFormatting>
  <conditionalFormatting sqref="H28 F28">
    <cfRule type="expression" dxfId="95" priority="20">
      <formula>$D$28="Y"</formula>
    </cfRule>
  </conditionalFormatting>
  <conditionalFormatting sqref="F50 H50">
    <cfRule type="expression" dxfId="94" priority="19">
      <formula>$D$50="Y"</formula>
    </cfRule>
  </conditionalFormatting>
  <conditionalFormatting sqref="F36 H36">
    <cfRule type="expression" dxfId="93" priority="17">
      <formula>$D$36="Y"</formula>
    </cfRule>
  </conditionalFormatting>
  <conditionalFormatting sqref="B42 D42">
    <cfRule type="expression" dxfId="92" priority="16">
      <formula>$D$40="Y"</formula>
    </cfRule>
  </conditionalFormatting>
  <conditionalFormatting sqref="F46 H46">
    <cfRule type="expression" dxfId="91" priority="15">
      <formula>$D$46="Y"</formula>
    </cfRule>
  </conditionalFormatting>
  <conditionalFormatting sqref="F68 H68">
    <cfRule type="expression" dxfId="90" priority="14">
      <formula>$D$68="Y"</formula>
    </cfRule>
  </conditionalFormatting>
  <conditionalFormatting sqref="F70 H70">
    <cfRule type="expression" dxfId="89" priority="13">
      <formula>$D$70="Y"</formula>
    </cfRule>
  </conditionalFormatting>
  <conditionalFormatting sqref="F72 H72">
    <cfRule type="expression" dxfId="88" priority="12">
      <formula>$D$72="Y"</formula>
    </cfRule>
  </conditionalFormatting>
  <conditionalFormatting sqref="F126 H126">
    <cfRule type="expression" dxfId="87" priority="11">
      <formula>$D$126="Y"</formula>
    </cfRule>
  </conditionalFormatting>
  <conditionalFormatting sqref="F14 J16 J18 F20 F22 F24 F26">
    <cfRule type="cellIs" dxfId="86" priority="10" operator="greaterThan">
      <formula>""""""</formula>
    </cfRule>
  </conditionalFormatting>
  <conditionalFormatting sqref="F42 H42">
    <cfRule type="expression" dxfId="85" priority="9">
      <formula>$D$42="Y"</formula>
    </cfRule>
  </conditionalFormatting>
  <conditionalFormatting sqref="F78 H78">
    <cfRule type="expression" dxfId="84" priority="8">
      <formula>$D$78="Y"</formula>
    </cfRule>
  </conditionalFormatting>
  <conditionalFormatting sqref="F76 H76">
    <cfRule type="expression" dxfId="83" priority="7">
      <formula>$D$76&gt;0</formula>
    </cfRule>
  </conditionalFormatting>
  <conditionalFormatting sqref="F96 H96">
    <cfRule type="expression" dxfId="82" priority="6">
      <formula>$D$96="Y"</formula>
    </cfRule>
  </conditionalFormatting>
  <conditionalFormatting sqref="B118">
    <cfRule type="expression" dxfId="81" priority="5">
      <formula>$D$116="Y"</formula>
    </cfRule>
  </conditionalFormatting>
  <conditionalFormatting sqref="F32 H32">
    <cfRule type="expression" dxfId="80" priority="4">
      <formula>$D$32="Y"</formula>
    </cfRule>
  </conditionalFormatting>
  <conditionalFormatting sqref="F34 H34">
    <cfRule type="expression" dxfId="79" priority="3">
      <formula>$D$34="Y"</formula>
    </cfRule>
  </conditionalFormatting>
  <conditionalFormatting sqref="B20 D20">
    <cfRule type="expression" dxfId="78" priority="2">
      <formula>$D$4="DVSA"</formula>
    </cfRule>
  </conditionalFormatting>
  <conditionalFormatting sqref="F56 H56 F58 H58">
    <cfRule type="expression" dxfId="77" priority="1">
      <formula>$D$56="Y"</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9" id="{A3DCB5C9-9E16-44AF-9F58-DA38A54815E9}">
            <xm:f>$H$16='Data lists'!$I$1</xm:f>
            <x14:dxf>
              <border>
                <left style="thin">
                  <color auto="1"/>
                </left>
                <right style="thin">
                  <color auto="1"/>
                </right>
                <top style="thin">
                  <color auto="1"/>
                </top>
                <bottom style="thin">
                  <color auto="1"/>
                </bottom>
                <vertical/>
                <horizontal/>
              </border>
            </x14:dxf>
          </x14:cfRule>
          <xm:sqref>B76 D76</xm:sqref>
        </x14:conditionalFormatting>
        <x14:conditionalFormatting xmlns:xm="http://schemas.microsoft.com/office/excel/2006/main">
          <x14:cfRule type="expression" priority="18" id="{74167EE3-086E-4150-8BB8-2A58D3A655E0}">
            <xm:f>$H$12='Data lists'!$I$1</xm:f>
            <x14:dxf>
              <border>
                <left style="thin">
                  <color auto="1"/>
                </left>
                <right style="thin">
                  <color auto="1"/>
                </right>
                <top style="thin">
                  <color auto="1"/>
                </top>
                <bottom style="thin">
                  <color auto="1"/>
                </bottom>
                <vertical/>
                <horizontal/>
              </border>
            </x14:dxf>
          </x14:cfRule>
          <xm:sqref>B28 D28</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BB1D30FB-AF5E-4A22-8896-FD3CE02A7199}">
          <x14:formula1>
            <xm:f>'Data lists'!$C$1:$C$2</xm:f>
          </x14:formula1>
          <xm:sqref>D72 D78:D80 D32 D34 D36 D52 H13:H15 H17 D64 D66 D68 D70 D82:D83 D90:D91 D38:D47 D93:D96 D110 D112 D120 D116 D126 D106 D98:D104 D50 H46:H47 D12:D29 D56 D58 D60 D122:D123</xm:sqref>
        </x14:dataValidation>
        <x14:dataValidation type="list" allowBlank="1" showInputMessage="1" showErrorMessage="1" xr:uid="{03A06E03-50D8-4A19-AD41-111103B4D617}">
          <x14:formula1>
            <xm:f>'Data lists'!$I$1:$I$4</xm:f>
          </x14:formula1>
          <xm:sqref>H12 H16 H18</xm:sqref>
        </x14:dataValidation>
        <x14:dataValidation type="list" allowBlank="1" showInputMessage="1" showErrorMessage="1" xr:uid="{DC7D835E-53EF-4512-80CB-3B7BEE55B19B}">
          <x14:formula1>
            <xm:f>'Data lists'!$J$1:$J$3</xm:f>
          </x14:formula1>
          <xm:sqref>H50</xm:sqref>
        </x14:dataValidation>
        <x14:dataValidation type="list" allowBlank="1" showInputMessage="1" showErrorMessage="1" xr:uid="{5806E529-9B9E-489D-8BF8-FE0AC22A3B25}">
          <x14:formula1>
            <xm:f>'Data lists'!$K$1:$K$4</xm:f>
          </x14:formula1>
          <xm:sqref>D108 D114 D124 D118</xm:sqref>
        </x14:dataValidation>
        <x14:dataValidation type="list" allowBlank="1" showInputMessage="1" showErrorMessage="1" xr:uid="{B3CA3B5F-C7C7-4B72-9B0C-044C6E094561}">
          <x14:formula1>
            <xm:f>'Data lists'!$K$1:$K$5</xm:f>
          </x14:formula1>
          <xm:sqref>H96</xm:sqref>
        </x14:dataValidation>
        <x14:dataValidation type="list" allowBlank="1" showInputMessage="1" showErrorMessage="1" xr:uid="{2FFD4F0A-2988-487D-ACBD-22AA7A52DF31}">
          <x14:formula1>
            <xm:f>'Data lists'!$C$1:$C$3</xm:f>
          </x14:formula1>
          <xm:sqref>H78</xm:sqref>
        </x14:dataValidation>
        <x14:dataValidation type="list" allowBlank="1" showInputMessage="1" showErrorMessage="1" xr:uid="{922179ED-5F42-4D72-B79B-8A251864C5BA}">
          <x14:formula1>
            <xm:f>'Data lists'!$T$1:$T$2</xm:f>
          </x14:formula1>
          <xm:sqref>D84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A140E-A5F9-4A35-84F4-1D4341FB19BB}">
  <sheetPr>
    <tabColor rgb="FFCC99FF"/>
  </sheetPr>
  <dimension ref="B1:I70"/>
  <sheetViews>
    <sheetView showGridLines="0" workbookViewId="0">
      <pane xSplit="1" ySplit="9" topLeftCell="B10" activePane="bottomRight" state="frozen"/>
      <selection pane="topRight" activeCell="G12" sqref="G12"/>
      <selection pane="bottomLeft" activeCell="G12" sqref="G12"/>
      <selection pane="bottomRight" activeCell="F17" sqref="F17"/>
    </sheetView>
  </sheetViews>
  <sheetFormatPr defaultRowHeight="14.5" x14ac:dyDescent="0.35"/>
  <cols>
    <col min="1" max="1" width="3.54296875" customWidth="1"/>
    <col min="2" max="2" width="40.54296875" style="13" customWidth="1"/>
    <col min="3" max="3" width="3.54296875" style="13" customWidth="1"/>
    <col min="4" max="4" width="40.54296875" style="13" customWidth="1"/>
    <col min="5" max="5" width="3.54296875" style="13" customWidth="1"/>
    <col min="6" max="6" width="40.54296875" style="13" customWidth="1"/>
    <col min="7" max="7" width="3.54296875" style="13" customWidth="1"/>
    <col min="8" max="8" width="40.54296875" style="13" customWidth="1"/>
    <col min="9" max="9" width="20.54296875" style="13" customWidth="1"/>
  </cols>
  <sheetData>
    <row r="1" spans="2:9" ht="15" thickBot="1" x14ac:dyDescent="0.4"/>
    <row r="2" spans="2:9" ht="16" thickBot="1" x14ac:dyDescent="0.4">
      <c r="B2" s="197" t="s">
        <v>10</v>
      </c>
      <c r="C2" s="198"/>
      <c r="D2" s="199"/>
      <c r="F2" s="162" t="s">
        <v>11</v>
      </c>
      <c r="G2" s="163"/>
      <c r="H2" s="163"/>
      <c r="I2" s="164"/>
    </row>
    <row r="3" spans="2:9" ht="15.5" x14ac:dyDescent="0.35">
      <c r="B3" s="17"/>
      <c r="F3" s="165"/>
      <c r="G3" s="166"/>
      <c r="H3" s="166"/>
      <c r="I3" s="167"/>
    </row>
    <row r="4" spans="2:9" ht="15.5" x14ac:dyDescent="0.35">
      <c r="B4" s="62" t="s">
        <v>12</v>
      </c>
      <c r="D4" s="18" t="str">
        <f>IF('Building Description'!D4="","",'Building Description'!D4)</f>
        <v/>
      </c>
      <c r="F4" s="165"/>
      <c r="G4" s="166"/>
      <c r="H4" s="166"/>
      <c r="I4" s="167"/>
    </row>
    <row r="5" spans="2:9" ht="15.5" x14ac:dyDescent="0.35">
      <c r="B5" s="17"/>
      <c r="F5" s="165"/>
      <c r="G5" s="166"/>
      <c r="H5" s="166"/>
      <c r="I5" s="167"/>
    </row>
    <row r="6" spans="2:9" ht="15.5" x14ac:dyDescent="0.35">
      <c r="B6" s="62" t="s">
        <v>13</v>
      </c>
      <c r="D6" s="18" t="str">
        <f>IF('Building Description'!D6="","",'Building Description'!D6)</f>
        <v/>
      </c>
      <c r="F6" s="165"/>
      <c r="G6" s="166"/>
      <c r="H6" s="166"/>
      <c r="I6" s="167"/>
    </row>
    <row r="7" spans="2:9" ht="15.5" x14ac:dyDescent="0.35">
      <c r="B7" s="17"/>
      <c r="F7" s="165"/>
      <c r="G7" s="166"/>
      <c r="H7" s="166"/>
      <c r="I7" s="167"/>
    </row>
    <row r="8" spans="2:9" ht="15.5" x14ac:dyDescent="0.35">
      <c r="B8" s="62" t="s">
        <v>14</v>
      </c>
      <c r="D8" s="18" t="str">
        <f>IF('Building Description'!D8="","",'Building Description'!D8)</f>
        <v/>
      </c>
      <c r="F8" s="165"/>
      <c r="G8" s="166"/>
      <c r="H8" s="166"/>
      <c r="I8" s="167"/>
    </row>
    <row r="9" spans="2:9" ht="16" thickBot="1" x14ac:dyDescent="0.4">
      <c r="B9" s="17"/>
      <c r="F9" s="168"/>
      <c r="G9" s="169"/>
      <c r="H9" s="169"/>
      <c r="I9" s="170"/>
    </row>
    <row r="10" spans="2:9" ht="15.5" x14ac:dyDescent="0.35">
      <c r="B10" s="178" t="s">
        <v>110</v>
      </c>
      <c r="C10" s="200"/>
      <c r="D10" s="200"/>
    </row>
    <row r="11" spans="2:9" ht="15.5" x14ac:dyDescent="0.35">
      <c r="B11" s="120"/>
      <c r="C11" s="55"/>
      <c r="D11" s="55"/>
    </row>
    <row r="12" spans="2:9" ht="15.5" x14ac:dyDescent="0.35">
      <c r="B12" s="61" t="s">
        <v>111</v>
      </c>
      <c r="C12" s="55"/>
      <c r="D12" s="121"/>
    </row>
    <row r="13" spans="2:9" ht="15.5" x14ac:dyDescent="0.35">
      <c r="B13" s="120"/>
      <c r="C13" s="55"/>
      <c r="D13" s="55"/>
    </row>
    <row r="14" spans="2:9" ht="15.5" x14ac:dyDescent="0.35">
      <c r="B14" s="22" t="str">
        <f>IF(D12='Data lists'!I1,"Are security personel required","")</f>
        <v/>
      </c>
      <c r="C14" s="55"/>
      <c r="D14" s="97"/>
    </row>
    <row r="15" spans="2:9" ht="15.5" x14ac:dyDescent="0.35">
      <c r="B15" s="22"/>
      <c r="C15" s="55"/>
      <c r="D15" s="55"/>
    </row>
    <row r="16" spans="2:9" ht="15.5" x14ac:dyDescent="0.35">
      <c r="B16" s="176" t="str">
        <f>IF(D14="Y","Manned Guarding","")</f>
        <v/>
      </c>
      <c r="C16" s="201"/>
      <c r="D16" s="201"/>
    </row>
    <row r="17" spans="2:8" ht="15.5" x14ac:dyDescent="0.35">
      <c r="B17" s="120"/>
      <c r="C17" s="55"/>
      <c r="D17" s="55"/>
      <c r="E17" s="58"/>
      <c r="F17" s="58"/>
      <c r="G17" s="58"/>
      <c r="H17" s="58"/>
    </row>
    <row r="18" spans="2:8" ht="15.5" x14ac:dyDescent="0.35">
      <c r="B18" s="24" t="str">
        <f>IF(D14="Y","Lock Up / open up service","")</f>
        <v/>
      </c>
      <c r="C18" s="25"/>
      <c r="D18" s="108"/>
      <c r="E18" s="43"/>
      <c r="F18" s="43" t="str">
        <f>IF(D18="Y","Operational days","")</f>
        <v/>
      </c>
      <c r="G18" s="43"/>
      <c r="H18" s="108"/>
    </row>
    <row r="19" spans="2:8" ht="15.5" x14ac:dyDescent="0.35">
      <c r="B19" s="43"/>
      <c r="C19" s="43"/>
      <c r="D19" s="43"/>
      <c r="E19" s="43"/>
      <c r="F19" s="43"/>
      <c r="G19" s="43"/>
      <c r="H19" s="43"/>
    </row>
    <row r="20" spans="2:8" ht="15.5" x14ac:dyDescent="0.35">
      <c r="B20" s="43" t="str">
        <f>IF(D18="Y","Hours or operation","")</f>
        <v/>
      </c>
      <c r="C20" s="43"/>
      <c r="D20" s="108"/>
      <c r="E20" s="43"/>
      <c r="F20" s="43"/>
      <c r="G20" s="43"/>
      <c r="H20" s="43"/>
    </row>
    <row r="21" spans="2:8" ht="15.5" x14ac:dyDescent="0.35">
      <c r="B21" s="122"/>
      <c r="C21" s="123"/>
      <c r="D21" s="123"/>
      <c r="E21" s="43"/>
      <c r="F21" s="43"/>
      <c r="G21" s="43"/>
      <c r="H21" s="43"/>
    </row>
    <row r="22" spans="2:8" ht="15.5" x14ac:dyDescent="0.35">
      <c r="B22" s="24" t="str">
        <f>IF(D14="Y","Control of access - Vehicles","")</f>
        <v/>
      </c>
      <c r="C22" s="25"/>
      <c r="D22" s="108"/>
      <c r="E22" s="43"/>
      <c r="F22" s="24" t="str">
        <f>IF(D22="Y","Guard house available","")</f>
        <v/>
      </c>
      <c r="G22" s="43"/>
      <c r="H22" s="108"/>
    </row>
    <row r="23" spans="2:8" ht="15.5" x14ac:dyDescent="0.35">
      <c r="B23" s="24"/>
      <c r="C23" s="25"/>
      <c r="D23" s="43"/>
      <c r="E23" s="43"/>
      <c r="F23" s="24"/>
      <c r="G23" s="43"/>
      <c r="H23" s="43"/>
    </row>
    <row r="24" spans="2:8" ht="15.5" x14ac:dyDescent="0.35">
      <c r="B24" s="44" t="str">
        <f>IF(H22="N","Welfare facilities provided","")</f>
        <v/>
      </c>
      <c r="C24" s="123"/>
      <c r="D24" s="124"/>
      <c r="E24" s="43"/>
      <c r="F24" s="43"/>
      <c r="G24" s="43"/>
      <c r="H24" s="43"/>
    </row>
    <row r="25" spans="2:8" ht="15.5" x14ac:dyDescent="0.35">
      <c r="B25" s="44"/>
      <c r="C25" s="123"/>
      <c r="D25" s="123"/>
      <c r="E25" s="43"/>
      <c r="F25" s="43"/>
      <c r="G25" s="43"/>
      <c r="H25" s="43"/>
    </row>
    <row r="26" spans="2:8" ht="15.5" x14ac:dyDescent="0.35">
      <c r="B26" s="24" t="str">
        <f>IF(D14="Y","Static Guarding Service","")</f>
        <v/>
      </c>
      <c r="C26" s="25"/>
      <c r="D26" s="108"/>
      <c r="E26" s="43"/>
      <c r="F26" s="43" t="str">
        <f>IF(D26="Y","Dog unit","")</f>
        <v/>
      </c>
      <c r="G26" s="43"/>
      <c r="H26" s="108"/>
    </row>
    <row r="27" spans="2:8" ht="15.5" x14ac:dyDescent="0.35">
      <c r="B27" s="24"/>
      <c r="C27" s="25"/>
      <c r="D27" s="43"/>
      <c r="E27" s="43"/>
      <c r="F27" s="43"/>
      <c r="G27" s="43"/>
      <c r="H27" s="43"/>
    </row>
    <row r="28" spans="2:8" ht="15.5" x14ac:dyDescent="0.35">
      <c r="B28" s="43" t="str">
        <f>IF(D26="Y","First aid trained staff","")</f>
        <v/>
      </c>
      <c r="C28" s="43"/>
      <c r="D28" s="108"/>
      <c r="E28" s="43"/>
      <c r="F28" s="43" t="str">
        <f>IF(D28="Y","Level of first aid training / number required","")</f>
        <v/>
      </c>
      <c r="G28" s="43"/>
      <c r="H28" s="108"/>
    </row>
    <row r="29" spans="2:8" ht="15.5" x14ac:dyDescent="0.35">
      <c r="B29" s="24"/>
      <c r="C29" s="25"/>
      <c r="D29" s="43"/>
      <c r="E29" s="43"/>
      <c r="F29" s="43"/>
      <c r="G29" s="43"/>
      <c r="H29" s="43"/>
    </row>
    <row r="30" spans="2:8" ht="15.5" x14ac:dyDescent="0.35">
      <c r="B30" s="43" t="str">
        <f>IF(D26="Y","Fire Warden trained","")</f>
        <v/>
      </c>
      <c r="C30" s="25"/>
      <c r="D30" s="108"/>
      <c r="E30" s="43"/>
      <c r="F30" s="43" t="str">
        <f>IF(D26="Y","SIA licenced","")</f>
        <v/>
      </c>
      <c r="G30" s="43"/>
      <c r="H30" s="108"/>
    </row>
    <row r="31" spans="2:8" ht="15.5" x14ac:dyDescent="0.35">
      <c r="B31" s="43"/>
      <c r="C31" s="25"/>
      <c r="D31" s="43"/>
      <c r="E31" s="43"/>
      <c r="F31" s="43"/>
      <c r="G31" s="43"/>
      <c r="H31" s="43"/>
    </row>
    <row r="32" spans="2:8" ht="15.5" x14ac:dyDescent="0.35">
      <c r="B32" s="24" t="str">
        <f>IF(D14="Y","Emergency response","")</f>
        <v/>
      </c>
      <c r="C32" s="25"/>
      <c r="D32" s="108"/>
      <c r="E32" s="43"/>
      <c r="F32" s="43" t="str">
        <f>IF(D32="Y","Key Holding required","")</f>
        <v/>
      </c>
      <c r="G32" s="43"/>
      <c r="H32" s="108"/>
    </row>
    <row r="33" spans="2:8" ht="15.5" x14ac:dyDescent="0.35">
      <c r="B33" s="24"/>
      <c r="C33" s="25"/>
      <c r="D33" s="43"/>
      <c r="E33" s="43"/>
      <c r="F33" s="43"/>
      <c r="G33" s="43"/>
      <c r="H33" s="43"/>
    </row>
    <row r="34" spans="2:8" ht="15.5" x14ac:dyDescent="0.35">
      <c r="B34" s="24" t="str">
        <f>IF(H32="N","How is access obtained in an emergency","")</f>
        <v/>
      </c>
      <c r="C34" s="25"/>
      <c r="D34" s="108"/>
      <c r="E34" s="43"/>
      <c r="F34" s="43"/>
      <c r="G34" s="43"/>
      <c r="H34" s="43"/>
    </row>
    <row r="35" spans="2:8" ht="15.5" x14ac:dyDescent="0.35">
      <c r="B35" s="24"/>
      <c r="C35" s="25"/>
      <c r="D35" s="43"/>
      <c r="E35" s="43"/>
      <c r="F35" s="43"/>
      <c r="G35" s="43"/>
      <c r="H35" s="43"/>
    </row>
    <row r="36" spans="2:8" ht="15.5" x14ac:dyDescent="0.35">
      <c r="B36" s="24" t="str">
        <f>IF(D14="Y","Patrols","")</f>
        <v/>
      </c>
      <c r="C36" s="25"/>
      <c r="D36" s="108"/>
      <c r="E36" s="43"/>
      <c r="F36" s="43" t="str">
        <f>IF(D36="Y","Frequency of patrols","")</f>
        <v/>
      </c>
      <c r="G36" s="43"/>
      <c r="H36" s="108"/>
    </row>
    <row r="37" spans="2:8" ht="15.5" x14ac:dyDescent="0.35">
      <c r="B37" s="24"/>
      <c r="C37" s="25"/>
      <c r="D37" s="108"/>
      <c r="E37" s="43"/>
      <c r="F37" s="43"/>
      <c r="G37" s="43"/>
      <c r="H37" s="108"/>
    </row>
    <row r="38" spans="2:8" ht="15.5" x14ac:dyDescent="0.35">
      <c r="B38" s="24" t="str">
        <f>IF(D36="Y","Detail of reports required","")</f>
        <v/>
      </c>
      <c r="C38" s="25"/>
      <c r="D38" s="108"/>
      <c r="E38" s="43"/>
      <c r="F38" s="43"/>
      <c r="G38" s="43"/>
      <c r="H38" s="108"/>
    </row>
    <row r="39" spans="2:8" ht="15.5" x14ac:dyDescent="0.35">
      <c r="B39" s="24"/>
      <c r="C39" s="25"/>
      <c r="D39" s="43"/>
      <c r="E39" s="43"/>
      <c r="F39" s="43"/>
      <c r="G39" s="43"/>
      <c r="H39" s="43"/>
    </row>
    <row r="40" spans="2:8" ht="15.5" x14ac:dyDescent="0.35">
      <c r="B40" s="24" t="str">
        <f>IF(D14="Y","Reactive guarding","")</f>
        <v/>
      </c>
      <c r="C40" s="25"/>
      <c r="D40" s="108"/>
      <c r="E40" s="43"/>
      <c r="F40" s="43" t="str">
        <f>IF(D40="Y","Details","")</f>
        <v/>
      </c>
      <c r="G40" s="43"/>
      <c r="H40" s="108"/>
    </row>
    <row r="41" spans="2:8" ht="15.5" x14ac:dyDescent="0.35">
      <c r="B41" s="24"/>
      <c r="C41" s="25"/>
      <c r="D41" s="43"/>
      <c r="E41" s="43"/>
      <c r="F41" s="43"/>
      <c r="G41" s="43"/>
      <c r="H41" s="43"/>
    </row>
    <row r="42" spans="2:8" ht="15.5" x14ac:dyDescent="0.35">
      <c r="B42" s="24" t="str">
        <f>IF(D14="Y","Enhanced security requirements","")</f>
        <v/>
      </c>
      <c r="C42" s="25"/>
      <c r="D42" s="108"/>
      <c r="E42" s="43"/>
      <c r="F42" s="43" t="str">
        <f>IF(D42="Y","Details","")</f>
        <v/>
      </c>
      <c r="G42" s="43"/>
      <c r="H42" s="108"/>
    </row>
    <row r="43" spans="2:8" ht="15.5" x14ac:dyDescent="0.35">
      <c r="B43" s="24"/>
      <c r="C43" s="25"/>
      <c r="D43" s="43"/>
      <c r="E43" s="43"/>
      <c r="F43" s="43"/>
      <c r="G43" s="43"/>
      <c r="H43" s="43"/>
    </row>
    <row r="44" spans="2:8" ht="15.5" x14ac:dyDescent="0.35">
      <c r="B44" s="24" t="str">
        <f>IF(D14="Y","Blended Static Guarding Service","")</f>
        <v/>
      </c>
      <c r="C44" s="25"/>
      <c r="D44" s="108"/>
      <c r="E44" s="43"/>
      <c r="F44" s="43" t="str">
        <f>IF(D44="Y","Details","")</f>
        <v/>
      </c>
      <c r="G44" s="43"/>
      <c r="H44" s="108"/>
    </row>
    <row r="45" spans="2:8" ht="15.5" x14ac:dyDescent="0.35">
      <c r="B45" s="24"/>
      <c r="C45" s="25"/>
      <c r="D45" s="43"/>
      <c r="E45" s="43"/>
      <c r="F45" s="43"/>
      <c r="G45" s="43"/>
      <c r="H45" s="43"/>
    </row>
    <row r="46" spans="2:8" ht="15.5" x14ac:dyDescent="0.35">
      <c r="B46" s="24" t="str">
        <f>IF(D14="Y","Site Access Management","")</f>
        <v/>
      </c>
      <c r="C46" s="25"/>
      <c r="D46" s="108"/>
      <c r="E46" s="43"/>
      <c r="F46" s="43" t="str">
        <f>IF(D46="Y","Normal days of operation","")</f>
        <v/>
      </c>
      <c r="G46" s="43"/>
      <c r="H46" s="108"/>
    </row>
    <row r="47" spans="2:8" ht="15.5" x14ac:dyDescent="0.35">
      <c r="B47" s="32"/>
      <c r="C47" s="31"/>
      <c r="D47" s="125"/>
      <c r="E47" s="125"/>
      <c r="F47" s="125"/>
      <c r="G47" s="125"/>
      <c r="H47" s="125"/>
    </row>
    <row r="48" spans="2:8" x14ac:dyDescent="0.35">
      <c r="B48" s="125" t="str">
        <f>IF(D46="Y","Normal hours or operation","")</f>
        <v/>
      </c>
      <c r="C48" s="125"/>
      <c r="D48" s="126"/>
      <c r="E48" s="125"/>
      <c r="F48" s="125" t="str">
        <f>IF(D46="Y","Additional training required","")</f>
        <v/>
      </c>
      <c r="G48" s="125"/>
      <c r="H48" s="126"/>
    </row>
    <row r="49" spans="2:8" x14ac:dyDescent="0.35">
      <c r="B49" s="125"/>
      <c r="C49" s="125"/>
      <c r="D49" s="125"/>
      <c r="E49" s="125"/>
      <c r="F49" s="125"/>
      <c r="G49" s="125"/>
      <c r="H49" s="125"/>
    </row>
    <row r="50" spans="2:8" x14ac:dyDescent="0.35">
      <c r="B50" s="125"/>
      <c r="C50" s="125"/>
      <c r="D50" s="125"/>
      <c r="E50" s="125"/>
      <c r="F50" s="125"/>
      <c r="G50" s="125"/>
      <c r="H50" s="125"/>
    </row>
    <row r="51" spans="2:8" x14ac:dyDescent="0.35">
      <c r="B51" s="125"/>
      <c r="C51" s="125"/>
      <c r="D51" s="125"/>
      <c r="E51" s="125"/>
      <c r="F51" s="125"/>
      <c r="G51" s="125"/>
      <c r="H51" s="125"/>
    </row>
    <row r="52" spans="2:8" x14ac:dyDescent="0.35">
      <c r="B52" s="125"/>
      <c r="C52" s="125"/>
      <c r="D52" s="125"/>
      <c r="E52" s="125"/>
      <c r="F52" s="125"/>
      <c r="G52" s="125"/>
      <c r="H52" s="125"/>
    </row>
    <row r="53" spans="2:8" x14ac:dyDescent="0.35">
      <c r="B53" s="125"/>
      <c r="C53" s="125"/>
      <c r="D53" s="125"/>
      <c r="E53" s="125"/>
      <c r="F53" s="125"/>
      <c r="G53" s="125"/>
      <c r="H53" s="125"/>
    </row>
    <row r="54" spans="2:8" x14ac:dyDescent="0.35">
      <c r="B54" s="125"/>
      <c r="C54" s="125"/>
      <c r="D54" s="125"/>
      <c r="E54" s="125"/>
      <c r="F54" s="125"/>
      <c r="G54" s="125"/>
      <c r="H54" s="125"/>
    </row>
    <row r="55" spans="2:8" x14ac:dyDescent="0.35">
      <c r="B55" s="125"/>
      <c r="C55" s="125"/>
      <c r="D55" s="125"/>
      <c r="E55" s="125"/>
      <c r="F55" s="125"/>
      <c r="G55" s="125"/>
      <c r="H55" s="125"/>
    </row>
    <row r="56" spans="2:8" x14ac:dyDescent="0.35">
      <c r="B56" s="125"/>
      <c r="C56" s="125"/>
      <c r="D56" s="125"/>
      <c r="E56" s="125"/>
      <c r="F56" s="125"/>
      <c r="G56" s="125"/>
      <c r="H56" s="125"/>
    </row>
    <row r="57" spans="2:8" x14ac:dyDescent="0.35">
      <c r="B57" s="125"/>
      <c r="C57" s="125"/>
      <c r="D57" s="125"/>
      <c r="E57" s="125"/>
      <c r="F57" s="125"/>
      <c r="G57" s="125"/>
      <c r="H57" s="125"/>
    </row>
    <row r="58" spans="2:8" x14ac:dyDescent="0.35">
      <c r="B58" s="125"/>
      <c r="C58" s="125"/>
      <c r="D58" s="125"/>
      <c r="E58" s="125"/>
      <c r="F58" s="125"/>
      <c r="G58" s="125"/>
      <c r="H58" s="125"/>
    </row>
    <row r="59" spans="2:8" x14ac:dyDescent="0.35">
      <c r="B59" s="125"/>
      <c r="C59" s="125"/>
      <c r="D59" s="125"/>
      <c r="E59" s="125"/>
      <c r="F59" s="125"/>
      <c r="G59" s="125"/>
      <c r="H59" s="125"/>
    </row>
    <row r="60" spans="2:8" x14ac:dyDescent="0.35">
      <c r="B60" s="125"/>
      <c r="C60" s="125"/>
      <c r="D60" s="125"/>
      <c r="E60" s="125"/>
      <c r="F60" s="125"/>
      <c r="G60" s="125"/>
      <c r="H60" s="125"/>
    </row>
    <row r="61" spans="2:8" x14ac:dyDescent="0.35">
      <c r="B61" s="125"/>
      <c r="C61" s="125"/>
      <c r="D61" s="125"/>
      <c r="E61" s="125"/>
      <c r="F61" s="125"/>
      <c r="G61" s="125"/>
      <c r="H61" s="125"/>
    </row>
    <row r="62" spans="2:8" x14ac:dyDescent="0.35">
      <c r="B62" s="125"/>
      <c r="C62" s="125"/>
      <c r="D62" s="125"/>
      <c r="E62" s="125"/>
      <c r="F62" s="125"/>
      <c r="G62" s="125"/>
      <c r="H62" s="125"/>
    </row>
    <row r="63" spans="2:8" x14ac:dyDescent="0.35">
      <c r="B63" s="125"/>
      <c r="C63" s="125"/>
      <c r="D63" s="125"/>
      <c r="E63" s="125"/>
      <c r="F63" s="125"/>
      <c r="G63" s="125"/>
      <c r="H63" s="125"/>
    </row>
    <row r="64" spans="2:8" x14ac:dyDescent="0.35">
      <c r="B64" s="125"/>
      <c r="C64" s="125"/>
      <c r="D64" s="125"/>
      <c r="E64" s="125"/>
      <c r="F64" s="125"/>
      <c r="G64" s="125"/>
      <c r="H64" s="125"/>
    </row>
    <row r="65" spans="2:8" x14ac:dyDescent="0.35">
      <c r="B65" s="125"/>
      <c r="C65" s="125"/>
      <c r="D65" s="125"/>
      <c r="E65" s="125"/>
      <c r="F65" s="125"/>
      <c r="G65" s="125"/>
      <c r="H65" s="125"/>
    </row>
    <row r="66" spans="2:8" x14ac:dyDescent="0.35">
      <c r="B66" s="125"/>
      <c r="C66" s="125"/>
      <c r="D66" s="125"/>
      <c r="E66" s="125"/>
      <c r="F66" s="125"/>
      <c r="G66" s="125"/>
      <c r="H66" s="125"/>
    </row>
    <row r="67" spans="2:8" x14ac:dyDescent="0.35">
      <c r="B67" s="125"/>
      <c r="C67" s="125"/>
      <c r="D67" s="125"/>
      <c r="E67" s="125"/>
      <c r="F67" s="125"/>
      <c r="G67" s="125"/>
      <c r="H67" s="125"/>
    </row>
    <row r="68" spans="2:8" x14ac:dyDescent="0.35">
      <c r="B68" s="125"/>
      <c r="C68" s="125"/>
      <c r="D68" s="125"/>
      <c r="E68" s="125"/>
      <c r="F68" s="125"/>
      <c r="G68" s="125"/>
      <c r="H68" s="125"/>
    </row>
    <row r="69" spans="2:8" x14ac:dyDescent="0.35">
      <c r="B69" s="125"/>
      <c r="C69" s="125"/>
      <c r="D69" s="125"/>
      <c r="E69" s="125"/>
      <c r="F69" s="125"/>
      <c r="G69" s="125"/>
      <c r="H69" s="125"/>
    </row>
    <row r="70" spans="2:8" x14ac:dyDescent="0.35">
      <c r="B70" s="125"/>
      <c r="C70" s="125"/>
      <c r="D70" s="125"/>
      <c r="E70" s="125"/>
      <c r="F70" s="125"/>
      <c r="G70" s="125"/>
      <c r="H70" s="125"/>
    </row>
  </sheetData>
  <sheetProtection algorithmName="SHA-512" hashValue="jLDHedNnEFshFwfwMCKPksoJpX/ly+3sNOoIMCsOfkBL596qsegl0s50V/1DNd4kbNAsC5BZ2ar7/v4Nuinjqw==" saltValue="q4oMukqARDDOoVdjEINHiQ==" spinCount="100000" sheet="1" insertHyperlinks="0" autoFilter="0"/>
  <mergeCells count="5">
    <mergeCell ref="B2:D2"/>
    <mergeCell ref="B10:D10"/>
    <mergeCell ref="B16:D16"/>
    <mergeCell ref="F2:I2"/>
    <mergeCell ref="F3:I9"/>
  </mergeCells>
  <conditionalFormatting sqref="B18 D18">
    <cfRule type="expression" dxfId="74" priority="24">
      <formula>$D$14="Y"</formula>
    </cfRule>
  </conditionalFormatting>
  <conditionalFormatting sqref="B20 D20 H18">
    <cfRule type="expression" dxfId="73" priority="23">
      <formula>$D$18="Y"</formula>
    </cfRule>
  </conditionalFormatting>
  <conditionalFormatting sqref="F18">
    <cfRule type="expression" dxfId="72" priority="19">
      <formula>$D$18="Y"</formula>
    </cfRule>
  </conditionalFormatting>
  <conditionalFormatting sqref="F22 H22">
    <cfRule type="expression" dxfId="71" priority="17">
      <formula>$D$22="Y"</formula>
    </cfRule>
  </conditionalFormatting>
  <conditionalFormatting sqref="B24 D24">
    <cfRule type="expression" dxfId="70" priority="16">
      <formula>$H$22="N"</formula>
    </cfRule>
  </conditionalFormatting>
  <conditionalFormatting sqref="F26 H26 B28 D28 B30 D30 F30 H30">
    <cfRule type="expression" dxfId="69" priority="15">
      <formula>$D$26="Y"</formula>
    </cfRule>
  </conditionalFormatting>
  <conditionalFormatting sqref="F28 H28">
    <cfRule type="expression" dxfId="68" priority="14">
      <formula>$D$28="Y"</formula>
    </cfRule>
  </conditionalFormatting>
  <conditionalFormatting sqref="F32 H32">
    <cfRule type="expression" dxfId="67" priority="13">
      <formula>$D$32="Y"</formula>
    </cfRule>
  </conditionalFormatting>
  <conditionalFormatting sqref="B34 D34">
    <cfRule type="expression" dxfId="66" priority="12">
      <formula>$H$32="N"</formula>
    </cfRule>
  </conditionalFormatting>
  <conditionalFormatting sqref="F36 H36 B38 D38">
    <cfRule type="expression" dxfId="65" priority="11">
      <formula>$D$36="Y"</formula>
    </cfRule>
  </conditionalFormatting>
  <conditionalFormatting sqref="F40 H40">
    <cfRule type="expression" dxfId="64" priority="10">
      <formula>$D$40="Y"</formula>
    </cfRule>
  </conditionalFormatting>
  <conditionalFormatting sqref="F42 H42">
    <cfRule type="expression" dxfId="63" priority="8">
      <formula>$D$42="Y"</formula>
    </cfRule>
  </conditionalFormatting>
  <conditionalFormatting sqref="F44 H44">
    <cfRule type="expression" dxfId="62" priority="7">
      <formula>$D$44="Y"</formula>
    </cfRule>
  </conditionalFormatting>
  <conditionalFormatting sqref="F46 H46 B48 D48">
    <cfRule type="expression" dxfId="61" priority="6">
      <formula>$D$46="Y"</formula>
    </cfRule>
  </conditionalFormatting>
  <conditionalFormatting sqref="B36 D36 B40 D40 B42 D42 B44 D44 B26 D26 B32 D32 B22 D22">
    <cfRule type="expression" dxfId="60" priority="5">
      <formula>$D$14="Y"</formula>
    </cfRule>
  </conditionalFormatting>
  <conditionalFormatting sqref="B16:D16">
    <cfRule type="expression" dxfId="59" priority="4">
      <formula>$D$14="Y"</formula>
    </cfRule>
  </conditionalFormatting>
  <conditionalFormatting sqref="B46 D46">
    <cfRule type="expression" dxfId="58" priority="3">
      <formula>$D$14="Y"</formula>
    </cfRule>
  </conditionalFormatting>
  <conditionalFormatting sqref="F48 H48">
    <cfRule type="expression" dxfId="57" priority="1">
      <formula>$D$46="Y"</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5" id="{B44D12FF-14BE-473F-A69E-F93F5DD0AE5D}">
            <xm:f>$D$12='Data lists'!$I$1</xm:f>
            <x14:dxf>
              <border>
                <left style="thin">
                  <color auto="1"/>
                </left>
                <right style="thin">
                  <color auto="1"/>
                </right>
                <top style="thin">
                  <color auto="1"/>
                </top>
                <bottom style="thin">
                  <color auto="1"/>
                </bottom>
                <vertical/>
                <horizontal/>
              </border>
            </x14:dxf>
          </x14:cfRule>
          <xm:sqref>B14 D14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13F32D5-2CD6-4FA6-B1B9-B93FC8508A23}">
          <x14:formula1>
            <xm:f>'Data lists'!$I$1:$I$4</xm:f>
          </x14:formula1>
          <xm:sqref>D12</xm:sqref>
        </x14:dataValidation>
        <x14:dataValidation type="list" allowBlank="1" showInputMessage="1" showErrorMessage="1" xr:uid="{A0244605-2BBE-430A-AD66-9981EC5F24DA}">
          <x14:formula1>
            <xm:f>'Data lists'!$C$1:$C$2</xm:f>
          </x14:formula1>
          <xm:sqref>D14 D18 D22 D26 D28 H26 D30 H30 D32 H32 H22 D40 D42 D44 D46 D36:D37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97AD6-69FC-406C-B17F-E8569F827A49}">
  <sheetPr>
    <tabColor rgb="FFFFCCCC"/>
  </sheetPr>
  <dimension ref="B1:I58"/>
  <sheetViews>
    <sheetView showGridLines="0" workbookViewId="0">
      <pane xSplit="1" ySplit="9" topLeftCell="B10" activePane="bottomRight" state="frozen"/>
      <selection pane="topRight" activeCell="G12" sqref="G12"/>
      <selection pane="bottomLeft" activeCell="G12" sqref="G12"/>
      <selection pane="bottomRight" activeCell="D12" sqref="D12"/>
    </sheetView>
  </sheetViews>
  <sheetFormatPr defaultRowHeight="14.5" x14ac:dyDescent="0.35"/>
  <cols>
    <col min="1" max="1" width="3.54296875" customWidth="1"/>
    <col min="2" max="2" width="40.54296875" customWidth="1"/>
    <col min="3" max="3" width="3.54296875" customWidth="1"/>
    <col min="4" max="4" width="40.54296875" customWidth="1"/>
    <col min="5" max="5" width="3.54296875" customWidth="1"/>
    <col min="6" max="6" width="40.54296875" customWidth="1"/>
    <col min="7" max="7" width="3.54296875" customWidth="1"/>
    <col min="8" max="8" width="40.54296875" customWidth="1"/>
    <col min="9" max="9" width="20.7265625" customWidth="1"/>
  </cols>
  <sheetData>
    <row r="1" spans="2:9" ht="15" thickBot="1" x14ac:dyDescent="0.4"/>
    <row r="2" spans="2:9" ht="16" thickBot="1" x14ac:dyDescent="0.4">
      <c r="B2" s="182" t="s">
        <v>10</v>
      </c>
      <c r="C2" s="183"/>
      <c r="D2" s="184"/>
      <c r="F2" s="179" t="s">
        <v>11</v>
      </c>
      <c r="G2" s="180"/>
      <c r="H2" s="180"/>
      <c r="I2" s="181"/>
    </row>
    <row r="3" spans="2:9" ht="15.5" x14ac:dyDescent="0.35">
      <c r="B3" s="2"/>
      <c r="F3" s="165"/>
      <c r="G3" s="166"/>
      <c r="H3" s="166"/>
      <c r="I3" s="167"/>
    </row>
    <row r="4" spans="2:9" ht="15.5" x14ac:dyDescent="0.35">
      <c r="B4" s="5" t="s">
        <v>12</v>
      </c>
      <c r="D4" s="1" t="str">
        <f>IF('Building Description'!D4="","",'Building Description'!D4)</f>
        <v/>
      </c>
      <c r="F4" s="165"/>
      <c r="G4" s="166"/>
      <c r="H4" s="166"/>
      <c r="I4" s="167"/>
    </row>
    <row r="5" spans="2:9" ht="15.5" x14ac:dyDescent="0.35">
      <c r="B5" s="2"/>
      <c r="F5" s="165"/>
      <c r="G5" s="166"/>
      <c r="H5" s="166"/>
      <c r="I5" s="167"/>
    </row>
    <row r="6" spans="2:9" ht="15.5" x14ac:dyDescent="0.35">
      <c r="B6" s="5" t="s">
        <v>13</v>
      </c>
      <c r="D6" s="1" t="str">
        <f>IF('Building Description'!D6="","",'Building Description'!D6)</f>
        <v/>
      </c>
      <c r="F6" s="165"/>
      <c r="G6" s="166"/>
      <c r="H6" s="166"/>
      <c r="I6" s="167"/>
    </row>
    <row r="7" spans="2:9" ht="15.5" x14ac:dyDescent="0.35">
      <c r="B7" s="2"/>
      <c r="F7" s="165"/>
      <c r="G7" s="166"/>
      <c r="H7" s="166"/>
      <c r="I7" s="167"/>
    </row>
    <row r="8" spans="2:9" ht="15.5" x14ac:dyDescent="0.35">
      <c r="B8" s="5" t="s">
        <v>14</v>
      </c>
      <c r="D8" s="1" t="str">
        <f>IF('Building Description'!D8="","",'Building Description'!D8)</f>
        <v/>
      </c>
      <c r="F8" s="165"/>
      <c r="G8" s="166"/>
      <c r="H8" s="166"/>
      <c r="I8" s="167"/>
    </row>
    <row r="9" spans="2:9" ht="16" thickBot="1" x14ac:dyDescent="0.4">
      <c r="B9" s="2"/>
      <c r="F9" s="168"/>
      <c r="G9" s="169"/>
      <c r="H9" s="169"/>
      <c r="I9" s="170"/>
    </row>
    <row r="10" spans="2:9" ht="15.5" x14ac:dyDescent="0.35">
      <c r="B10" s="204" t="s">
        <v>112</v>
      </c>
      <c r="C10" s="205"/>
      <c r="D10" s="205"/>
    </row>
    <row r="11" spans="2:9" ht="15.5" x14ac:dyDescent="0.35">
      <c r="B11" s="45"/>
      <c r="C11" s="54"/>
      <c r="D11" s="54"/>
    </row>
    <row r="12" spans="2:9" ht="15.5" x14ac:dyDescent="0.35">
      <c r="B12" s="50" t="s">
        <v>113</v>
      </c>
      <c r="C12" s="54"/>
      <c r="D12" s="64"/>
    </row>
    <row r="13" spans="2:9" ht="15.5" x14ac:dyDescent="0.35">
      <c r="B13" s="2"/>
    </row>
    <row r="14" spans="2:9" ht="15.5" x14ac:dyDescent="0.35">
      <c r="B14" s="202" t="str">
        <f>IF(D12="Y","Catering","")</f>
        <v/>
      </c>
      <c r="C14" s="203"/>
      <c r="D14" s="203"/>
    </row>
    <row r="16" spans="2:9" ht="15.5" x14ac:dyDescent="0.35">
      <c r="B16" s="4" t="str">
        <f>IF(D12="Y","Chilled Potable Water (bottled water)","")</f>
        <v/>
      </c>
      <c r="D16" s="66"/>
      <c r="F16" t="str">
        <f>IF(D16="Y","Dispensor type","")</f>
        <v/>
      </c>
      <c r="H16" s="66"/>
    </row>
    <row r="17" spans="2:8" ht="15.5" x14ac:dyDescent="0.35">
      <c r="B17" s="4"/>
    </row>
    <row r="18" spans="2:8" ht="15.5" x14ac:dyDescent="0.35">
      <c r="B18" s="4" t="str">
        <f>IF(D16="Y","Location","")</f>
        <v/>
      </c>
      <c r="D18" s="66"/>
    </row>
    <row r="19" spans="2:8" ht="15.5" x14ac:dyDescent="0.35">
      <c r="B19" s="4"/>
    </row>
    <row r="20" spans="2:8" ht="15.5" x14ac:dyDescent="0.35">
      <c r="B20" s="4" t="str">
        <f>IF(D12="Y","Vending Machines","")</f>
        <v/>
      </c>
      <c r="D20" s="66"/>
    </row>
    <row r="21" spans="2:8" ht="15.5" x14ac:dyDescent="0.35">
      <c r="B21" s="4"/>
    </row>
    <row r="22" spans="2:8" ht="15.5" x14ac:dyDescent="0.35">
      <c r="B22" s="4" t="str">
        <f>IF(D20="Y","Drinks","")</f>
        <v/>
      </c>
      <c r="D22" s="66"/>
      <c r="F22" t="str">
        <f>IF(D22="Y","Hot, cold or both","")</f>
        <v/>
      </c>
      <c r="H22" s="66"/>
    </row>
    <row r="23" spans="2:8" ht="15.5" x14ac:dyDescent="0.35">
      <c r="B23" s="4"/>
    </row>
    <row r="24" spans="2:8" ht="15.5" x14ac:dyDescent="0.35">
      <c r="B24" s="4" t="str">
        <f>IF(D22="Y","Location","")</f>
        <v/>
      </c>
      <c r="D24" s="66"/>
      <c r="F24" t="str">
        <f>IF(D22="Y","Details","")</f>
        <v/>
      </c>
      <c r="H24" s="66"/>
    </row>
    <row r="25" spans="2:8" ht="15.5" x14ac:dyDescent="0.35">
      <c r="B25" s="4"/>
    </row>
    <row r="26" spans="2:8" ht="15.5" x14ac:dyDescent="0.35">
      <c r="B26" s="4" t="str">
        <f>IF(D20="Y","Food","")</f>
        <v/>
      </c>
      <c r="D26" s="66"/>
      <c r="F26" t="str">
        <f>IF(D26="Y","Hot, cold or both","")</f>
        <v/>
      </c>
      <c r="H26" s="66"/>
    </row>
    <row r="27" spans="2:8" ht="15.5" x14ac:dyDescent="0.35">
      <c r="B27" s="4"/>
    </row>
    <row r="28" spans="2:8" ht="15.5" x14ac:dyDescent="0.35">
      <c r="B28" s="4" t="str">
        <f>IF(D26="Y","Location","")</f>
        <v/>
      </c>
      <c r="D28" s="66"/>
      <c r="F28" t="str">
        <f>IF(D26="Y","Details","")</f>
        <v/>
      </c>
      <c r="H28" s="66"/>
    </row>
    <row r="29" spans="2:8" ht="15.5" x14ac:dyDescent="0.35">
      <c r="B29" s="4"/>
    </row>
    <row r="30" spans="2:8" ht="15.5" x14ac:dyDescent="0.35">
      <c r="B30" s="4" t="str">
        <f>IF(D20="Y","Confectionary","")</f>
        <v/>
      </c>
      <c r="D30" s="66"/>
      <c r="F30" t="str">
        <f>IF(D26="Y","Details","")</f>
        <v/>
      </c>
      <c r="H30" s="66"/>
    </row>
    <row r="31" spans="2:8" ht="15.5" x14ac:dyDescent="0.35">
      <c r="B31" s="4"/>
    </row>
    <row r="32" spans="2:8" ht="15.5" x14ac:dyDescent="0.35">
      <c r="B32" s="4" t="str">
        <f>IF(D30="Y","Location","")</f>
        <v/>
      </c>
      <c r="D32" s="66"/>
    </row>
    <row r="33" spans="2:8" ht="15.5" x14ac:dyDescent="0.35">
      <c r="B33" s="4"/>
    </row>
    <row r="34" spans="2:8" ht="15.5" x14ac:dyDescent="0.35">
      <c r="B34" s="4" t="str">
        <f>IF(D12="Y","Convenience Store","")</f>
        <v/>
      </c>
      <c r="D34" s="66"/>
      <c r="F34" t="str">
        <f>IF(D34="Y","Opening hours","")</f>
        <v/>
      </c>
      <c r="H34" s="66"/>
    </row>
    <row r="35" spans="2:8" ht="15.5" x14ac:dyDescent="0.35">
      <c r="B35" s="4"/>
    </row>
    <row r="36" spans="2:8" ht="15.5" x14ac:dyDescent="0.35">
      <c r="B36" s="4" t="str">
        <f>IF(D12="Y","Residential (including Custodial) Catering","")</f>
        <v/>
      </c>
      <c r="D36" s="66"/>
      <c r="F36" t="str">
        <f>IF(D36="Y","Details","")</f>
        <v/>
      </c>
      <c r="H36" s="66"/>
    </row>
    <row r="37" spans="2:8" ht="15.5" x14ac:dyDescent="0.35">
      <c r="B37" s="4"/>
    </row>
    <row r="38" spans="2:8" ht="15.5" x14ac:dyDescent="0.35">
      <c r="B38" s="4" t="str">
        <f>IF(D12="Y","Deli / Coffee Bar","")</f>
        <v/>
      </c>
      <c r="D38" s="66"/>
      <c r="F38" t="str">
        <f>IF(D38="Y","Opening hours","")</f>
        <v/>
      </c>
      <c r="H38" s="66"/>
    </row>
    <row r="39" spans="2:8" ht="15.5" x14ac:dyDescent="0.35">
      <c r="B39" s="4"/>
    </row>
    <row r="40" spans="2:8" ht="15.5" x14ac:dyDescent="0.35">
      <c r="B40" s="4" t="str">
        <f>IF(D38="Y","Dietry Requierments","")</f>
        <v/>
      </c>
      <c r="D40" s="66"/>
    </row>
    <row r="41" spans="2:8" ht="15.5" x14ac:dyDescent="0.35">
      <c r="B41" s="4"/>
    </row>
    <row r="42" spans="2:8" ht="15.5" x14ac:dyDescent="0.35">
      <c r="B42" s="4" t="str">
        <f>IF(D12="Y","Events and Functions","")</f>
        <v/>
      </c>
      <c r="D42" s="66"/>
      <c r="F42" t="str">
        <f>IF(D42="Y","Details","")</f>
        <v/>
      </c>
      <c r="H42" s="66"/>
    </row>
    <row r="43" spans="2:8" ht="15.5" x14ac:dyDescent="0.35">
      <c r="B43" s="4"/>
    </row>
    <row r="44" spans="2:8" ht="15.5" x14ac:dyDescent="0.35">
      <c r="B44" s="4" t="str">
        <f>IF(D12="Y","Full Service Restaurant","")</f>
        <v/>
      </c>
      <c r="D44" s="66"/>
      <c r="F44" t="str">
        <f>IF(D44="Y","Opening hours","")</f>
        <v/>
      </c>
      <c r="H44" s="66"/>
    </row>
    <row r="45" spans="2:8" ht="15.5" x14ac:dyDescent="0.35">
      <c r="B45" s="4"/>
    </row>
    <row r="46" spans="2:8" ht="15.5" x14ac:dyDescent="0.35">
      <c r="B46" s="4" t="str">
        <f>IF(D44="Y","Dietry Requierments","")</f>
        <v/>
      </c>
      <c r="D46" s="66"/>
    </row>
    <row r="47" spans="2:8" ht="15.5" x14ac:dyDescent="0.35">
      <c r="B47" s="4"/>
    </row>
    <row r="48" spans="2:8" ht="15.5" x14ac:dyDescent="0.35">
      <c r="B48" s="4" t="str">
        <f>IF(D12="Y","Hospitality and Meetings","")</f>
        <v/>
      </c>
      <c r="D48" s="66"/>
      <c r="F48" t="str">
        <f>IF(D48="Y","Details","")</f>
        <v/>
      </c>
      <c r="H48" s="66"/>
    </row>
    <row r="49" spans="2:8" ht="15.5" x14ac:dyDescent="0.35">
      <c r="B49" s="4"/>
    </row>
    <row r="50" spans="2:8" ht="15.5" x14ac:dyDescent="0.35">
      <c r="B50" s="4" t="str">
        <f>IF(D12="Y","Outside Catering","")</f>
        <v/>
      </c>
      <c r="D50" s="66"/>
      <c r="F50" t="str">
        <f>IF(D50="Y","Make or supply","")</f>
        <v/>
      </c>
      <c r="H50" s="66"/>
    </row>
    <row r="51" spans="2:8" ht="15.5" x14ac:dyDescent="0.35">
      <c r="B51" s="4"/>
    </row>
    <row r="52" spans="2:8" ht="15.5" x14ac:dyDescent="0.35">
      <c r="B52" s="4" t="str">
        <f>IF(H50="Make","Facilities available on site","")</f>
        <v/>
      </c>
      <c r="D52" s="66"/>
      <c r="F52" t="str">
        <f>IF(D52="Y","Location","")</f>
        <v/>
      </c>
    </row>
    <row r="53" spans="2:8" ht="15.5" x14ac:dyDescent="0.35">
      <c r="B53" s="4"/>
    </row>
    <row r="54" spans="2:8" ht="15.5" x14ac:dyDescent="0.35">
      <c r="B54" s="4" t="str">
        <f>IF(D12="Y","Trolley Service","")</f>
        <v/>
      </c>
      <c r="D54" s="66"/>
      <c r="F54" s="23" t="str">
        <f>IF(D54="Y","Hours of operations","")</f>
        <v/>
      </c>
      <c r="H54" s="66"/>
    </row>
    <row r="56" spans="2:8" x14ac:dyDescent="0.35">
      <c r="B56" t="str">
        <f>IF(D54="Y","Frequency","")</f>
        <v/>
      </c>
      <c r="D56" s="66"/>
      <c r="F56" t="str">
        <f>IF(D54="Y","Dietry requierments","")</f>
        <v/>
      </c>
      <c r="H56" s="66"/>
    </row>
    <row r="58" spans="2:8" x14ac:dyDescent="0.35">
      <c r="B58" t="str">
        <f>IF(D12="Y","Meeting room services","")</f>
        <v/>
      </c>
      <c r="D58" s="66"/>
      <c r="F58" t="str">
        <f>IF(D58="Y","Details","")</f>
        <v/>
      </c>
      <c r="H58" s="66"/>
    </row>
  </sheetData>
  <sheetProtection algorithmName="SHA-512" hashValue="SLyDfA+ZX6dziCOOsQCUecxHs9ZNHys7XYzpW9AalC6x2icWS0fuZWZQ9xllymORHfQCVZWCBB9bz14JYQj3zQ==" saltValue="qKF1a0fUMMmp58QpfsiyVA==" spinCount="100000" sheet="1" insertHyperlinks="0" autoFilter="0"/>
  <mergeCells count="5">
    <mergeCell ref="B14:D14"/>
    <mergeCell ref="B10:D10"/>
    <mergeCell ref="B2:D2"/>
    <mergeCell ref="F2:I2"/>
    <mergeCell ref="F3:I9"/>
  </mergeCells>
  <conditionalFormatting sqref="B22 D22 B26 D26 B30 D30">
    <cfRule type="expression" dxfId="55" priority="16">
      <formula>$D$20="Y"</formula>
    </cfRule>
  </conditionalFormatting>
  <conditionalFormatting sqref="F22 H22 F24 H24 B24 D24">
    <cfRule type="expression" dxfId="54" priority="15">
      <formula>$D$22="Y"</formula>
    </cfRule>
  </conditionalFormatting>
  <conditionalFormatting sqref="F26 H26 B28 D28 F28 H28">
    <cfRule type="expression" dxfId="53" priority="14">
      <formula>$D$26="Y"</formula>
    </cfRule>
  </conditionalFormatting>
  <conditionalFormatting sqref="F30 H30 B32 D32">
    <cfRule type="expression" dxfId="52" priority="13">
      <formula>$D$30="Y"</formula>
    </cfRule>
  </conditionalFormatting>
  <conditionalFormatting sqref="F34 H34 F36 H36 F38 H38 F44 H44 F48 H48 F50 H50 F54 H54">
    <cfRule type="expression" dxfId="51" priority="12">
      <formula>$D34="Y"</formula>
    </cfRule>
  </conditionalFormatting>
  <conditionalFormatting sqref="B40 D40">
    <cfRule type="expression" dxfId="50" priority="11">
      <formula>$D$38="Y"</formula>
    </cfRule>
  </conditionalFormatting>
  <conditionalFormatting sqref="B46 D46">
    <cfRule type="expression" dxfId="49" priority="10">
      <formula>$D$44="Y"</formula>
    </cfRule>
  </conditionalFormatting>
  <conditionalFormatting sqref="B52 D52">
    <cfRule type="expression" dxfId="48" priority="9">
      <formula>$H$50="Make"</formula>
    </cfRule>
  </conditionalFormatting>
  <conditionalFormatting sqref="F52 H52">
    <cfRule type="expression" dxfId="47" priority="8">
      <formula>$D$52="Y"</formula>
    </cfRule>
  </conditionalFormatting>
  <conditionalFormatting sqref="B56 D56 F56 H56">
    <cfRule type="expression" dxfId="46" priority="7">
      <formula>$D$54="Y"</formula>
    </cfRule>
  </conditionalFormatting>
  <conditionalFormatting sqref="F16 H16 B18 D18">
    <cfRule type="expression" dxfId="45" priority="6">
      <formula>$D$16="Y"</formula>
    </cfRule>
  </conditionalFormatting>
  <conditionalFormatting sqref="F42 H42">
    <cfRule type="expression" dxfId="44" priority="5">
      <formula>$D$42="Y"</formula>
    </cfRule>
  </conditionalFormatting>
  <conditionalFormatting sqref="F58 H58">
    <cfRule type="expression" dxfId="43" priority="4">
      <formula>$D$58="Y"</formula>
    </cfRule>
  </conditionalFormatting>
  <conditionalFormatting sqref="B16 D16 B20 D20 B34 D34 B36 D36 B38 D38 B42 D42 B44 D44 B48 D48 B50 D50 B54 D54 B58 D58">
    <cfRule type="expression" dxfId="42" priority="2">
      <formula>$D$12="Y"</formula>
    </cfRule>
  </conditionalFormatting>
  <conditionalFormatting sqref="B14:D14">
    <cfRule type="expression" dxfId="41" priority="1">
      <formula>$D$12="Y"</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0DED7CF7-B940-4012-B21F-E9A2842B31A6}">
          <x14:formula1>
            <xm:f>'Data lists'!$C$1:$C$2</xm:f>
          </x14:formula1>
          <xm:sqref>D16 D20 D22 D26 D30 D34 D36 D38 D42 D44 D48 D50 D52 D54 D58 D12</xm:sqref>
        </x14:dataValidation>
        <x14:dataValidation type="list" allowBlank="1" showInputMessage="1" showErrorMessage="1" xr:uid="{E97C257E-A9F0-435E-AC8D-0C67EEA9533A}">
          <x14:formula1>
            <xm:f>'Data lists'!$Q$1:$Q$3</xm:f>
          </x14:formula1>
          <xm:sqref>H22 H26</xm:sqref>
        </x14:dataValidation>
        <x14:dataValidation type="list" allowBlank="1" showInputMessage="1" showErrorMessage="1" xr:uid="{C03E8722-8E2F-4922-8F40-554E484C60BB}">
          <x14:formula1>
            <xm:f>'Data lists'!P1:P2</xm:f>
          </x14:formula1>
          <xm:sqref>H50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48B6E5F09388A48B9C94DDF8ECA5F34" ma:contentTypeVersion="13" ma:contentTypeDescription="Create a new document." ma:contentTypeScope="" ma:versionID="f32b3191ef1107e6a83866c6f9041936">
  <xsd:schema xmlns:xsd="http://www.w3.org/2001/XMLSchema" xmlns:xs="http://www.w3.org/2001/XMLSchema" xmlns:p="http://schemas.microsoft.com/office/2006/metadata/properties" xmlns:ns2="d0075213-870e-485f-afce-abd5a6aa0dfa" xmlns:ns3="8bd5f473-5f3d-49f9-825e-09412f6ea5c9" xmlns:ns4="15ff3d39-6e7b-4d70-9b7c-8d9fe85d0f29" targetNamespace="http://schemas.microsoft.com/office/2006/metadata/properties" ma:root="true" ma:fieldsID="c26f5748922b13eccab80841424c2833" ns2:_="" ns3:_="" ns4:_="">
    <xsd:import namespace="d0075213-870e-485f-afce-abd5a6aa0dfa"/>
    <xsd:import namespace="8bd5f473-5f3d-49f9-825e-09412f6ea5c9"/>
    <xsd:import namespace="15ff3d39-6e7b-4d70-9b7c-8d9fe85d0f2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075213-870e-485f-afce-abd5a6aa0d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de26ec3-896b-4bef-bed1-ad194f885b2b"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bd5f473-5f3d-49f9-825e-09412f6ea5c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3d39-6e7b-4d70-9b7c-8d9fe85d0f29"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95e015c0-b28b-4aca-89fe-958bd2e9d873}" ma:internalName="TaxCatchAll" ma:showField="CatchAllData" ma:web="8bd5f473-5f3d-49f9-825e-09412f6ea5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5ff3d39-6e7b-4d70-9b7c-8d9fe85d0f29" xsi:nil="true"/>
    <lcf76f155ced4ddcb4097134ff3c332f xmlns="d0075213-870e-485f-afce-abd5a6aa0df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8462DE5-988E-4C28-9206-736D3689F8FF}">
  <ds:schemaRefs>
    <ds:schemaRef ds:uri="http://schemas.microsoft.com/sharepoint/v3/contenttype/forms"/>
  </ds:schemaRefs>
</ds:datastoreItem>
</file>

<file path=customXml/itemProps2.xml><?xml version="1.0" encoding="utf-8"?>
<ds:datastoreItem xmlns:ds="http://schemas.openxmlformats.org/officeDocument/2006/customXml" ds:itemID="{6C783F4C-B541-4F7B-844F-6AF457FF6E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075213-870e-485f-afce-abd5a6aa0dfa"/>
    <ds:schemaRef ds:uri="8bd5f473-5f3d-49f9-825e-09412f6ea5c9"/>
    <ds:schemaRef ds:uri="15ff3d39-6e7b-4d70-9b7c-8d9fe85d0f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1E82EB-BBA3-4342-89BA-EC2DAB589A8C}">
  <ds:schemaRefs>
    <ds:schemaRef ds:uri="http://purl.org/dc/terms/"/>
    <ds:schemaRef ds:uri="http://schemas.microsoft.com/office/2006/documentManagement/types"/>
    <ds:schemaRef ds:uri="http://purl.org/dc/elements/1.1/"/>
    <ds:schemaRef ds:uri="d0075213-870e-485f-afce-abd5a6aa0dfa"/>
    <ds:schemaRef ds:uri="http://schemas.microsoft.com/office/infopath/2007/PartnerControls"/>
    <ds:schemaRef ds:uri="http://schemas.openxmlformats.org/package/2006/metadata/core-properties"/>
    <ds:schemaRef ds:uri="15ff3d39-6e7b-4d70-9b7c-8d9fe85d0f29"/>
    <ds:schemaRef ds:uri="8bd5f473-5f3d-49f9-825e-09412f6ea5c9"/>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Version Control</vt:lpstr>
      <vt:lpstr>Building Description</vt:lpstr>
      <vt:lpstr>Health &amp; Safety</vt:lpstr>
      <vt:lpstr>Hard Services</vt:lpstr>
      <vt:lpstr>Cleaning and soft services</vt:lpstr>
      <vt:lpstr>Grounds</vt:lpstr>
      <vt:lpstr>Security</vt:lpstr>
      <vt:lpstr>Catering</vt:lpstr>
      <vt:lpstr>Environmental</vt:lpstr>
      <vt:lpstr>Longlist</vt:lpstr>
      <vt:lpstr>Data lists</vt:lpstr>
      <vt:lpstr>Service Matrix</vt:lpstr>
      <vt:lpstr>Estate Information</vt:lpstr>
    </vt:vector>
  </TitlesOfParts>
  <Manager/>
  <Company>Department for Transport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Turner</dc:creator>
  <cp:keywords/>
  <dc:description/>
  <cp:lastModifiedBy>Phil Hawyes</cp:lastModifiedBy>
  <cp:revision/>
  <dcterms:created xsi:type="dcterms:W3CDTF">2022-05-25T13:23:49Z</dcterms:created>
  <dcterms:modified xsi:type="dcterms:W3CDTF">2023-05-09T15:31:41Z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0x010100F48B6E5F09388A48B9C94DDF8ECA5F34</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