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velocity.hs2.org.uk\users\bhaeften\Documents\Procurement Strategy\Transport Model Development and Analysis\03 Audit\03 ITT\"/>
    </mc:Choice>
  </mc:AlternateContent>
  <bookViews>
    <workbookView xWindow="0" yWindow="0" windowWidth="28800" windowHeight="11535"/>
  </bookViews>
  <sheets>
    <sheet name="Cover" sheetId="6" r:id="rId1"/>
    <sheet name="T06b - Unpriced Resources" sheetId="24" r:id="rId2"/>
    <sheet name="C01 - Priced Resources" sheetId="10" r:id="rId3"/>
    <sheet name="C02 - Model Audit Team" sheetId="13" r:id="rId4"/>
    <sheet name="Day Rates per Grade" sheetId="12" r:id="rId5"/>
    <sheet name="First Year Resources" sheetId="16" r:id="rId6"/>
    <sheet name="Total Resources" sheetId="14" r:id="rId7"/>
    <sheet name="Example Day Rates (1)" sheetId="18" r:id="rId8"/>
    <sheet name="Example Day Rates (2)" sheetId="19" r:id="rId9"/>
    <sheet name="Example Day Rates (3)" sheetId="23" r:id="rId10"/>
    <sheet name="Commercial Graph" sheetId="20" r:id="rId11"/>
    <sheet name="Calculate Commercial Score" sheetId="17" r:id="rId12"/>
    <sheet name="Audit Services Score" sheetId="22" r:id="rId13"/>
    <sheet name="Savings Score" sheetId="25" r:id="rId14"/>
    <sheet name="Named Ranges" sheetId="21" r:id="rId15"/>
  </sheets>
  <definedNames>
    <definedName name="Analysis_Team" localSheetId="1">'T06b - Unpriced Resources'!$A$7:$A$12</definedName>
    <definedName name="Analysis_Team">'C01 - Priced Resources'!$A$7:$A$12</definedName>
    <definedName name="BenchmarkRate" localSheetId="13">'Named Ranges'!#REF!</definedName>
    <definedName name="BenchmarkRate" localSheetId="1">'Named Ranges'!#REF!</definedName>
    <definedName name="BenchmarkRate">'Named Ranges'!#REF!</definedName>
    <definedName name="Consultants" localSheetId="9">'Total Resources'!#REF!</definedName>
    <definedName name="Consultants" localSheetId="13">'Total Resources'!#REF!</definedName>
    <definedName name="Consultants" localSheetId="1">'Total Resources'!#REF!</definedName>
    <definedName name="Consultants">'Total Resources'!#REF!</definedName>
    <definedName name="Development_Forecast" localSheetId="9">'C01 - Priced Resources'!#REF!</definedName>
    <definedName name="Development_Forecast" localSheetId="13">'C01 - Priced Resources'!#REF!</definedName>
    <definedName name="Development_Forecast" localSheetId="1">'T06b - Unpriced Resources'!#REF!</definedName>
    <definedName name="Development_Forecast">'C01 - Priced Resources'!#REF!</definedName>
    <definedName name="Development_Team" localSheetId="9">'C01 - Priced Resources'!#REF!</definedName>
    <definedName name="Development_Team" localSheetId="13">'C01 - Priced Resources'!#REF!</definedName>
    <definedName name="Development_Team" localSheetId="1">'T06b - Unpriced Resources'!#REF!</definedName>
    <definedName name="Development_Team">'C01 - Priced Resources'!#REF!</definedName>
    <definedName name="First">'First Year Resources'!$B$4:$AJ$17</definedName>
    <definedName name="Grades">'Day Rates per Grade'!$A$2:$B$7</definedName>
    <definedName name="lowestPrice">'Named Ranges'!$B$7</definedName>
    <definedName name="Maximum_Score">'Named Ranges'!$B$8</definedName>
    <definedName name="MidPoint" localSheetId="9">'Named Ranges'!#REF!</definedName>
    <definedName name="MidPoint" localSheetId="13">'Named Ranges'!#REF!</definedName>
    <definedName name="MidPoint" localSheetId="1">'Named Ranges'!#REF!</definedName>
    <definedName name="MidPoint">'Named Ranges'!#REF!</definedName>
    <definedName name="Range">'Named Ranges'!$B$6</definedName>
    <definedName name="RateRange" localSheetId="13">'Named Ranges'!#REF!</definedName>
    <definedName name="RateRange" localSheetId="1">'Named Ranges'!#REF!</definedName>
    <definedName name="RateRange">'Named Ranges'!#REF!</definedName>
    <definedName name="Review">'First Year Resources'!$B$19</definedName>
    <definedName name="Spread">'Named Ranges'!#REF!</definedName>
    <definedName name="Target">'Named Ranges'!$B$4</definedName>
    <definedName name="UpperLimit">'Named Ranges'!$B$5</definedName>
    <definedName name="UpperRate" localSheetId="13">'Named Ranges'!#REF!</definedName>
    <definedName name="UpperRate" localSheetId="1">'Named Ranges'!#REF!</definedName>
    <definedName name="UpperRate">'Named Ranges'!#REF!</definedName>
    <definedName name="Weighting">'Named Ranges'!$B$3</definedName>
  </definedNames>
  <calcPr calcId="152511" concurrentCalc="0"/>
  <pivotCaches>
    <pivotCache cacheId="0" r:id="rId16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7" l="1"/>
  <c r="E2" i="17"/>
  <c r="C3" i="25"/>
  <c r="C4" i="25"/>
  <c r="C5" i="25"/>
  <c r="C6" i="25"/>
  <c r="C7" i="25"/>
  <c r="C8" i="25"/>
  <c r="C9" i="25"/>
  <c r="C10" i="25"/>
  <c r="C11" i="25"/>
  <c r="C12" i="25"/>
  <c r="C13" i="25"/>
  <c r="C14" i="25"/>
  <c r="C15" i="25"/>
  <c r="C16" i="25"/>
  <c r="C17" i="25"/>
  <c r="C18" i="25"/>
  <c r="C19" i="25"/>
  <c r="C20" i="25"/>
  <c r="C21" i="25"/>
  <c r="C22" i="25"/>
  <c r="C23" i="25"/>
  <c r="C24" i="25"/>
  <c r="C25" i="25"/>
  <c r="C26" i="25"/>
  <c r="C27" i="25"/>
  <c r="C28" i="25"/>
  <c r="C29" i="25"/>
  <c r="C30" i="25"/>
  <c r="C31" i="25"/>
  <c r="C32" i="25"/>
  <c r="C33" i="25"/>
  <c r="C34" i="25"/>
  <c r="C35" i="25"/>
  <c r="C36" i="25"/>
  <c r="C37" i="25"/>
  <c r="C38" i="25"/>
  <c r="C39" i="25"/>
  <c r="C40" i="25"/>
  <c r="C41" i="25"/>
  <c r="C42" i="25"/>
  <c r="C43" i="25"/>
  <c r="C44" i="25"/>
  <c r="C45" i="25"/>
  <c r="C46" i="25"/>
  <c r="C47" i="25"/>
  <c r="C48" i="25"/>
  <c r="C49" i="25"/>
  <c r="C50" i="25"/>
  <c r="C51" i="25"/>
  <c r="C52" i="25"/>
  <c r="C53" i="25"/>
  <c r="C54" i="25"/>
  <c r="C55" i="25"/>
  <c r="C56" i="25"/>
  <c r="C57" i="25"/>
  <c r="C58" i="25"/>
  <c r="C59" i="25"/>
  <c r="C60" i="25"/>
  <c r="C61" i="25"/>
  <c r="C62" i="25"/>
  <c r="C63" i="25"/>
  <c r="C64" i="25"/>
  <c r="C65" i="25"/>
  <c r="C66" i="25"/>
  <c r="C67" i="25"/>
  <c r="C68" i="25"/>
  <c r="C69" i="25"/>
  <c r="C70" i="25"/>
  <c r="C71" i="25"/>
  <c r="C72" i="25"/>
  <c r="C2" i="25"/>
  <c r="B3" i="25"/>
  <c r="B4" i="25"/>
  <c r="B5" i="25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2" i="25"/>
  <c r="C5" i="17"/>
  <c r="B5" i="17"/>
  <c r="D5" i="17"/>
  <c r="F5" i="17"/>
  <c r="B2" i="17"/>
  <c r="D2" i="17"/>
  <c r="F2" i="17"/>
  <c r="C2" i="17"/>
  <c r="B7" i="21"/>
  <c r="B6" i="21"/>
  <c r="D3" i="13"/>
  <c r="H3" i="13"/>
  <c r="J3" i="13"/>
  <c r="D4" i="13"/>
  <c r="H4" i="13"/>
  <c r="J4" i="13"/>
  <c r="D5" i="13"/>
  <c r="H5" i="13"/>
  <c r="J5" i="13"/>
  <c r="D6" i="13"/>
  <c r="H6" i="13"/>
  <c r="J6" i="13"/>
  <c r="D7" i="13"/>
  <c r="H7" i="13"/>
  <c r="J7" i="13"/>
  <c r="D8" i="13"/>
  <c r="H8" i="13"/>
  <c r="J8" i="13"/>
  <c r="J9" i="13"/>
  <c r="G3" i="13"/>
  <c r="G4" i="13"/>
  <c r="G5" i="13"/>
  <c r="G6" i="13"/>
  <c r="G7" i="13"/>
  <c r="G8" i="13"/>
  <c r="G9" i="13"/>
  <c r="J13" i="13"/>
  <c r="J17" i="13"/>
  <c r="J18" i="13"/>
  <c r="J19" i="13"/>
  <c r="J20" i="13"/>
  <c r="J21" i="13"/>
  <c r="J22" i="13"/>
  <c r="J24" i="13"/>
  <c r="J26" i="13"/>
  <c r="J28" i="13"/>
  <c r="J30" i="13"/>
  <c r="J32" i="13"/>
  <c r="J34" i="13"/>
  <c r="O19" i="24"/>
  <c r="B12" i="24"/>
  <c r="B11" i="24"/>
  <c r="B10" i="24"/>
  <c r="B9" i="24"/>
  <c r="B8" i="24"/>
  <c r="B7" i="24"/>
  <c r="E20" i="23"/>
  <c r="E19" i="23"/>
  <c r="E18" i="23"/>
  <c r="E17" i="23"/>
  <c r="E16" i="23"/>
  <c r="E15" i="23"/>
  <c r="B9" i="23"/>
  <c r="C8" i="23"/>
  <c r="F8" i="23"/>
  <c r="F7" i="23"/>
  <c r="C7" i="23"/>
  <c r="F6" i="23"/>
  <c r="F5" i="23"/>
  <c r="C5" i="23"/>
  <c r="F4" i="23"/>
  <c r="F3" i="23"/>
  <c r="C3" i="23"/>
  <c r="B38" i="22"/>
  <c r="C38" i="22"/>
  <c r="E20" i="19"/>
  <c r="E19" i="19"/>
  <c r="E18" i="19"/>
  <c r="E17" i="19"/>
  <c r="E16" i="19"/>
  <c r="E15" i="19"/>
  <c r="B9" i="19"/>
  <c r="C8" i="19"/>
  <c r="F8" i="19"/>
  <c r="F7" i="19"/>
  <c r="F6" i="19"/>
  <c r="F5" i="19"/>
  <c r="F4" i="19"/>
  <c r="F3" i="19"/>
  <c r="E20" i="18"/>
  <c r="E19" i="18"/>
  <c r="E18" i="18"/>
  <c r="E17" i="18"/>
  <c r="E16" i="18"/>
  <c r="E15" i="18"/>
  <c r="B9" i="18"/>
  <c r="C7" i="18"/>
  <c r="F8" i="18"/>
  <c r="F7" i="18"/>
  <c r="F6" i="18"/>
  <c r="F5" i="18"/>
  <c r="F4" i="18"/>
  <c r="F3" i="18"/>
  <c r="E22" i="18"/>
  <c r="C4" i="23"/>
  <c r="C6" i="23"/>
  <c r="C9" i="23"/>
  <c r="C5" i="19"/>
  <c r="C7" i="19"/>
  <c r="C3" i="19"/>
  <c r="B27" i="22"/>
  <c r="C27" i="22"/>
  <c r="B47" i="22"/>
  <c r="C47" i="22"/>
  <c r="B39" i="22"/>
  <c r="C39" i="22"/>
  <c r="B2" i="22"/>
  <c r="C2" i="22"/>
  <c r="C3" i="18"/>
  <c r="C5" i="18"/>
  <c r="B33" i="22"/>
  <c r="C33" i="22"/>
  <c r="B29" i="22"/>
  <c r="C29" i="22"/>
  <c r="B31" i="22"/>
  <c r="C31" i="22"/>
  <c r="B41" i="22"/>
  <c r="C41" i="22"/>
  <c r="B35" i="22"/>
  <c r="C35" i="22"/>
  <c r="B45" i="22"/>
  <c r="C45" i="22"/>
  <c r="B37" i="22"/>
  <c r="C37" i="22"/>
  <c r="B43" i="22"/>
  <c r="C43" i="22"/>
  <c r="C4" i="19"/>
  <c r="C6" i="19"/>
  <c r="B30" i="22"/>
  <c r="C30" i="22"/>
  <c r="B28" i="22"/>
  <c r="C28" i="22"/>
  <c r="B36" i="22"/>
  <c r="C36" i="22"/>
  <c r="B34" i="22"/>
  <c r="C34" i="22"/>
  <c r="B32" i="22"/>
  <c r="C32" i="22"/>
  <c r="B48" i="22"/>
  <c r="C48" i="22"/>
  <c r="B46" i="22"/>
  <c r="C46" i="22"/>
  <c r="B44" i="22"/>
  <c r="C44" i="22"/>
  <c r="B42" i="22"/>
  <c r="C42" i="22"/>
  <c r="B40" i="22"/>
  <c r="C40" i="22"/>
  <c r="E22" i="23"/>
  <c r="F10" i="23"/>
  <c r="F10" i="19"/>
  <c r="E22" i="19"/>
  <c r="F10" i="18"/>
  <c r="F22" i="18"/>
  <c r="F24" i="18"/>
  <c r="F26" i="18"/>
  <c r="B24" i="22"/>
  <c r="C24" i="22"/>
  <c r="B20" i="22"/>
  <c r="C20" i="22"/>
  <c r="B16" i="22"/>
  <c r="C16" i="22"/>
  <c r="B12" i="22"/>
  <c r="C12" i="22"/>
  <c r="B8" i="22"/>
  <c r="C8" i="22"/>
  <c r="B4" i="22"/>
  <c r="C4" i="22"/>
  <c r="B19" i="22"/>
  <c r="C19" i="22"/>
  <c r="B11" i="22"/>
  <c r="C11" i="22"/>
  <c r="B7" i="22"/>
  <c r="C7" i="22"/>
  <c r="B26" i="22"/>
  <c r="C26" i="22"/>
  <c r="B18" i="22"/>
  <c r="C18" i="22"/>
  <c r="B10" i="22"/>
  <c r="C10" i="22"/>
  <c r="B6" i="22"/>
  <c r="C6" i="22"/>
  <c r="B25" i="22"/>
  <c r="C25" i="22"/>
  <c r="B21" i="22"/>
  <c r="C21" i="22"/>
  <c r="B17" i="22"/>
  <c r="C17" i="22"/>
  <c r="B13" i="22"/>
  <c r="C13" i="22"/>
  <c r="B9" i="22"/>
  <c r="C9" i="22"/>
  <c r="B5" i="22"/>
  <c r="C5" i="22"/>
  <c r="B23" i="22"/>
  <c r="C23" i="22"/>
  <c r="B15" i="22"/>
  <c r="C15" i="22"/>
  <c r="B3" i="22"/>
  <c r="C3" i="22"/>
  <c r="B22" i="22"/>
  <c r="C22" i="22"/>
  <c r="B14" i="22"/>
  <c r="C14" i="22"/>
  <c r="C8" i="18"/>
  <c r="C6" i="18"/>
  <c r="C4" i="18"/>
  <c r="F22" i="19"/>
  <c r="F24" i="19"/>
  <c r="F26" i="19"/>
  <c r="G26" i="19"/>
  <c r="F28" i="19"/>
  <c r="F22" i="23"/>
  <c r="F24" i="23"/>
  <c r="F26" i="23"/>
  <c r="G26" i="23"/>
  <c r="F28" i="23"/>
  <c r="C9" i="19"/>
  <c r="G26" i="18"/>
  <c r="F28" i="18"/>
  <c r="C9" i="18"/>
  <c r="E9" i="13"/>
  <c r="F7" i="13"/>
  <c r="F6" i="13"/>
  <c r="F3" i="13"/>
  <c r="F5" i="13"/>
  <c r="F8" i="13"/>
  <c r="F4" i="13"/>
  <c r="F9" i="13"/>
  <c r="E13" i="10"/>
  <c r="F13" i="10"/>
  <c r="G13" i="10"/>
  <c r="H13" i="10"/>
  <c r="I13" i="10"/>
  <c r="J13" i="10"/>
  <c r="K13" i="10"/>
  <c r="L13" i="10"/>
  <c r="M13" i="10"/>
  <c r="N13" i="10"/>
  <c r="O13" i="10"/>
  <c r="D13" i="10"/>
  <c r="P22" i="10"/>
  <c r="B8" i="10"/>
  <c r="B9" i="10"/>
  <c r="B10" i="10"/>
  <c r="C10" i="10"/>
  <c r="B11" i="10"/>
  <c r="C11" i="10"/>
  <c r="B12" i="10"/>
  <c r="C12" i="10"/>
  <c r="C17" i="16"/>
  <c r="I3" i="13"/>
  <c r="D17" i="16"/>
  <c r="I8" i="13"/>
  <c r="E17" i="16"/>
  <c r="I4" i="13"/>
  <c r="F17" i="16"/>
  <c r="I5" i="13"/>
  <c r="G17" i="16"/>
  <c r="I6" i="13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AI17" i="16"/>
  <c r="AJ17" i="16"/>
  <c r="AK17" i="16"/>
  <c r="B17" i="16"/>
  <c r="I7" i="13"/>
  <c r="C3" i="14"/>
  <c r="C8" i="10"/>
  <c r="C9" i="10"/>
  <c r="B7" i="10"/>
  <c r="C7" i="10"/>
  <c r="D13" i="13"/>
  <c r="F14" i="10"/>
  <c r="J14" i="10"/>
  <c r="N14" i="10"/>
  <c r="E14" i="10"/>
  <c r="I14" i="10"/>
  <c r="M14" i="10"/>
  <c r="G14" i="10"/>
  <c r="K14" i="10"/>
  <c r="O14" i="10"/>
  <c r="H14" i="10"/>
  <c r="L14" i="10"/>
  <c r="D14" i="10"/>
  <c r="E3" i="14"/>
  <c r="I3" i="14"/>
  <c r="M3" i="14"/>
  <c r="F4" i="14"/>
  <c r="J4" i="14"/>
  <c r="N4" i="14"/>
  <c r="G5" i="14"/>
  <c r="K5" i="14"/>
  <c r="O5" i="14"/>
  <c r="H6" i="14"/>
  <c r="L6" i="14"/>
  <c r="E7" i="14"/>
  <c r="I7" i="14"/>
  <c r="M7" i="14"/>
  <c r="F8" i="14"/>
  <c r="J8" i="14"/>
  <c r="N8" i="14"/>
  <c r="F3" i="14"/>
  <c r="K3" i="14"/>
  <c r="E4" i="14"/>
  <c r="K4" i="14"/>
  <c r="E5" i="14"/>
  <c r="J5" i="14"/>
  <c r="E6" i="14"/>
  <c r="J6" i="14"/>
  <c r="O6" i="14"/>
  <c r="J7" i="14"/>
  <c r="O7" i="14"/>
  <c r="I8" i="14"/>
  <c r="O8" i="14"/>
  <c r="D5" i="14"/>
  <c r="G3" i="14"/>
  <c r="L3" i="14"/>
  <c r="G4" i="14"/>
  <c r="L4" i="14"/>
  <c r="F5" i="14"/>
  <c r="L5" i="14"/>
  <c r="F6" i="14"/>
  <c r="K6" i="14"/>
  <c r="F7" i="14"/>
  <c r="K7" i="14"/>
  <c r="E8" i="14"/>
  <c r="K8" i="14"/>
  <c r="D6" i="14"/>
  <c r="H3" i="14"/>
  <c r="H4" i="14"/>
  <c r="H5" i="14"/>
  <c r="G6" i="14"/>
  <c r="G7" i="14"/>
  <c r="G8" i="14"/>
  <c r="D7" i="14"/>
  <c r="D3" i="14"/>
  <c r="J3" i="14"/>
  <c r="I4" i="14"/>
  <c r="I5" i="14"/>
  <c r="I6" i="14"/>
  <c r="H7" i="14"/>
  <c r="H8" i="14"/>
  <c r="D8" i="14"/>
  <c r="N3" i="14"/>
  <c r="M4" i="14"/>
  <c r="M5" i="14"/>
  <c r="M6" i="14"/>
  <c r="L7" i="14"/>
  <c r="L8" i="14"/>
  <c r="O3" i="14"/>
  <c r="O4" i="14"/>
  <c r="N5" i="14"/>
  <c r="N6" i="14"/>
  <c r="N7" i="14"/>
  <c r="M8" i="14"/>
  <c r="D4" i="14"/>
  <c r="C4" i="14"/>
  <c r="C6" i="14"/>
  <c r="C8" i="14"/>
  <c r="C5" i="14"/>
  <c r="C7" i="14"/>
  <c r="H9" i="13"/>
  <c r="H24" i="13"/>
  <c r="D15" i="10"/>
</calcChain>
</file>

<file path=xl/comments1.xml><?xml version="1.0" encoding="utf-8"?>
<comments xmlns="http://schemas.openxmlformats.org/spreadsheetml/2006/main">
  <authors>
    <author>Bernard vanHaeften</author>
  </authors>
  <commentList>
    <comment ref="A5" authorId="0" shapeId="0">
      <text>
        <r>
          <rPr>
            <b/>
            <sz val="9"/>
            <color indexed="81"/>
            <rFont val="Arial"/>
            <family val="2"/>
          </rPr>
          <t>Bernard vanHaeften:</t>
        </r>
        <r>
          <rPr>
            <sz val="9"/>
            <color indexed="81"/>
            <rFont val="Arial"/>
            <family val="2"/>
          </rPr>
          <t xml:space="preserve">
Insert Bid
</t>
        </r>
      </text>
    </comment>
  </commentList>
</comments>
</file>

<file path=xl/sharedStrings.xml><?xml version="1.0" encoding="utf-8"?>
<sst xmlns="http://schemas.openxmlformats.org/spreadsheetml/2006/main" count="286" uniqueCount="103">
  <si>
    <t>Grade</t>
  </si>
  <si>
    <t>Director / Partner</t>
  </si>
  <si>
    <t>Managing Consultant</t>
  </si>
  <si>
    <t>Assistant Director or Principal Consultant</t>
  </si>
  <si>
    <t>Senior Consultant</t>
  </si>
  <si>
    <t>Consultant</t>
  </si>
  <si>
    <t>Junior Consultant</t>
  </si>
  <si>
    <t>tbc</t>
  </si>
  <si>
    <r>
      <rPr>
        <b/>
        <sz val="14"/>
        <color theme="1"/>
        <rFont val="Corbel"/>
        <family val="2"/>
      </rPr>
      <t>Note</t>
    </r>
    <r>
      <rPr>
        <sz val="14"/>
        <color theme="1"/>
        <rFont val="Corbel"/>
        <family val="2"/>
      </rPr>
      <t>: A full day constitutes a minimum of 8 hours.</t>
    </r>
  </si>
  <si>
    <t>Free Days Offered</t>
  </si>
  <si>
    <t>Value of Free Days</t>
  </si>
  <si>
    <t>Adjusted for free days</t>
  </si>
  <si>
    <t>Adjusted for retrospective rebates</t>
  </si>
  <si>
    <t>Annual Cap</t>
  </si>
  <si>
    <t>Per Annum</t>
  </si>
  <si>
    <t>Annual Retrospective Rebate (%)</t>
  </si>
  <si>
    <t xml:space="preserve">Day Rate </t>
  </si>
  <si>
    <t>Model Analysis Days Monthly Allocation</t>
  </si>
  <si>
    <t>Name</t>
  </si>
  <si>
    <t>Rate</t>
  </si>
  <si>
    <r>
      <t>Tenderers' Daily Rate (</t>
    </r>
    <r>
      <rPr>
        <b/>
        <sz val="14"/>
        <color rgb="FFFF0000"/>
        <rFont val="Corbel"/>
        <family val="2"/>
      </rPr>
      <t>A</t>
    </r>
    <r>
      <rPr>
        <b/>
        <sz val="14"/>
        <color rgb="FF000000"/>
        <rFont val="Corbel"/>
        <family val="2"/>
      </rPr>
      <t>) including discounts</t>
    </r>
  </si>
  <si>
    <t>Estimated Annual Days / 1st Year Cost</t>
  </si>
  <si>
    <t>Assistant Director / Principal Consultant</t>
  </si>
  <si>
    <t>Grand Total</t>
  </si>
  <si>
    <t>Column Labels</t>
  </si>
  <si>
    <t>FY2016/7</t>
  </si>
  <si>
    <t>FY2016/17</t>
  </si>
  <si>
    <t>Sum of Apr-16</t>
  </si>
  <si>
    <t>Sum of May-16</t>
  </si>
  <si>
    <t>Sum of Jun-16</t>
  </si>
  <si>
    <t>Sum of Jul-16</t>
  </si>
  <si>
    <t>Sum of Aug-16</t>
  </si>
  <si>
    <t>Sum of Sep-16</t>
  </si>
  <si>
    <t>Sum of Oct-16</t>
  </si>
  <si>
    <t>Sum of Nov-16</t>
  </si>
  <si>
    <t>Sum of Dec-16</t>
  </si>
  <si>
    <t>Sum of Jan-17</t>
  </si>
  <si>
    <t>Sum of Feb-17</t>
  </si>
  <si>
    <t>Sum of Mar-17</t>
  </si>
  <si>
    <t>Values</t>
  </si>
  <si>
    <t>Review %</t>
  </si>
  <si>
    <t>Director</t>
  </si>
  <si>
    <t>Managing</t>
  </si>
  <si>
    <t>Principal</t>
  </si>
  <si>
    <t>Senior</t>
  </si>
  <si>
    <t>Junior</t>
  </si>
  <si>
    <r>
      <t>Benchmark Days (</t>
    </r>
    <r>
      <rPr>
        <b/>
        <sz val="14"/>
        <color rgb="FFFF0000"/>
        <rFont val="Corbel"/>
        <family val="2"/>
      </rPr>
      <t>B</t>
    </r>
    <r>
      <rPr>
        <b/>
        <sz val="14"/>
        <color rgb="FF000000"/>
        <rFont val="Corbel"/>
        <family val="2"/>
      </rPr>
      <t>)</t>
    </r>
  </si>
  <si>
    <r>
      <t>Benchmark Cost
(</t>
    </r>
    <r>
      <rPr>
        <b/>
        <sz val="14"/>
        <color rgb="FFFF0000"/>
        <rFont val="Corbel"/>
        <family val="2"/>
      </rPr>
      <t>A</t>
    </r>
    <r>
      <rPr>
        <b/>
        <sz val="14"/>
        <color rgb="FF000000"/>
        <rFont val="Corbel"/>
        <family val="2"/>
      </rPr>
      <t xml:space="preserve"> * </t>
    </r>
    <r>
      <rPr>
        <b/>
        <sz val="14"/>
        <color rgb="FFFF0000"/>
        <rFont val="Corbel"/>
        <family val="2"/>
      </rPr>
      <t>B</t>
    </r>
    <r>
      <rPr>
        <b/>
        <sz val="14"/>
        <color rgb="FF000000"/>
        <rFont val="Corbel"/>
        <family val="2"/>
      </rPr>
      <t>)</t>
    </r>
  </si>
  <si>
    <r>
      <t>1st Year Adviser Days (</t>
    </r>
    <r>
      <rPr>
        <b/>
        <sz val="14"/>
        <color rgb="FFFF0000"/>
        <rFont val="Corbel"/>
        <family val="2"/>
      </rPr>
      <t>C</t>
    </r>
    <r>
      <rPr>
        <b/>
        <sz val="14"/>
        <color rgb="FF000000"/>
        <rFont val="Corbel"/>
        <family val="2"/>
      </rPr>
      <t>) from Project Plan</t>
    </r>
  </si>
  <si>
    <t>Benchmark Allocation</t>
  </si>
  <si>
    <t>Transport Model Audit Allocation</t>
  </si>
  <si>
    <r>
      <t>Name
(</t>
    </r>
    <r>
      <rPr>
        <b/>
        <sz val="14"/>
        <color rgb="FFFF0000"/>
        <rFont val="Corbel"/>
        <family val="2"/>
      </rPr>
      <t>Insert a new row for each team member</t>
    </r>
    <r>
      <rPr>
        <b/>
        <sz val="14"/>
        <color rgb="FF000000"/>
        <rFont val="Corbel"/>
        <family val="2"/>
      </rPr>
      <t>)</t>
    </r>
  </si>
  <si>
    <r>
      <t>Grade
(</t>
    </r>
    <r>
      <rPr>
        <b/>
        <sz val="14"/>
        <color rgb="FFFF0000"/>
        <rFont val="Corbel"/>
        <family val="2"/>
      </rPr>
      <t>Confirm Grade of each team member</t>
    </r>
    <r>
      <rPr>
        <b/>
        <sz val="14"/>
        <color rgb="FF000000"/>
        <rFont val="Corbel"/>
        <family val="2"/>
      </rPr>
      <t>)</t>
    </r>
  </si>
  <si>
    <r>
      <t>Company
(</t>
    </r>
    <r>
      <rPr>
        <b/>
        <sz val="14"/>
        <color rgb="FFFF0000"/>
        <rFont val="Corbel"/>
        <family val="2"/>
      </rPr>
      <t>Confirm employer</t>
    </r>
    <r>
      <rPr>
        <b/>
        <sz val="14"/>
        <color rgb="FF000000"/>
        <rFont val="Corbel"/>
        <family val="2"/>
      </rPr>
      <t>)</t>
    </r>
  </si>
  <si>
    <t>HS2 ModelAudit Forecast Requirement</t>
  </si>
  <si>
    <t>Instruction</t>
  </si>
  <si>
    <t>1. Tenderer to insert a new row for each team member</t>
  </si>
  <si>
    <r>
      <t xml:space="preserve">2. Tenderer to amend </t>
    </r>
    <r>
      <rPr>
        <sz val="11"/>
        <color rgb="FFFF0000"/>
        <rFont val="Corbel"/>
        <family val="2"/>
      </rPr>
      <t>highlighted</t>
    </r>
    <r>
      <rPr>
        <sz val="11"/>
        <color theme="1"/>
        <rFont val="Corbel"/>
        <family val="2"/>
      </rPr>
      <t xml:space="preserve"> allocation for each team member</t>
    </r>
  </si>
  <si>
    <r>
      <t>First Year Cost
(</t>
    </r>
    <r>
      <rPr>
        <b/>
        <sz val="14"/>
        <color rgb="FFFF0000"/>
        <rFont val="Corbel"/>
        <family val="2"/>
      </rPr>
      <t xml:space="preserve">A </t>
    </r>
    <r>
      <rPr>
        <b/>
        <sz val="14"/>
        <color rgb="FF000000"/>
        <rFont val="Corbel"/>
        <family val="2"/>
      </rPr>
      <t>*</t>
    </r>
    <r>
      <rPr>
        <b/>
        <sz val="14"/>
        <color rgb="FFFF0000"/>
        <rFont val="Corbel"/>
        <family val="2"/>
      </rPr>
      <t xml:space="preserve"> C</t>
    </r>
    <r>
      <rPr>
        <b/>
        <sz val="14"/>
        <color rgb="FF000000"/>
        <rFont val="Corbel"/>
        <family val="2"/>
      </rPr>
      <t>)</t>
    </r>
  </si>
  <si>
    <t>Individual Allocation from Project Plan</t>
  </si>
  <si>
    <t>Tender to Confirm Rates</t>
  </si>
  <si>
    <t>Average Day Rate / Blended  Cost</t>
  </si>
  <si>
    <t>Example Bid</t>
  </si>
  <si>
    <t>Premium</t>
  </si>
  <si>
    <t>Commercial Score</t>
  </si>
  <si>
    <t>Tenderer's Bid</t>
  </si>
  <si>
    <t>Tenderer's Day Rates - Example Project</t>
  </si>
  <si>
    <r>
      <t>Estimated Days (</t>
    </r>
    <r>
      <rPr>
        <b/>
        <sz val="14"/>
        <color rgb="FFFF0000"/>
        <rFont val="Corbel"/>
        <family val="2"/>
      </rPr>
      <t>A</t>
    </r>
    <r>
      <rPr>
        <b/>
        <sz val="14"/>
        <color rgb="FF000000"/>
        <rFont val="Corbel"/>
        <family val="2"/>
      </rPr>
      <t>) - from Project Plan</t>
    </r>
  </si>
  <si>
    <t>Name(s)</t>
  </si>
  <si>
    <r>
      <t>Tenderers' Daily Rate (</t>
    </r>
    <r>
      <rPr>
        <b/>
        <sz val="14"/>
        <color rgb="FFFF0000"/>
        <rFont val="Corbel"/>
        <family val="2"/>
      </rPr>
      <t>B</t>
    </r>
    <r>
      <rPr>
        <b/>
        <sz val="14"/>
        <color rgb="FF000000"/>
        <rFont val="Corbel"/>
        <family val="2"/>
      </rPr>
      <t>) including discounts</t>
    </r>
  </si>
  <si>
    <r>
      <t>Benchmark Cost (</t>
    </r>
    <r>
      <rPr>
        <b/>
        <sz val="14"/>
        <color rgb="FFFF0000"/>
        <rFont val="Corbel"/>
        <family val="2"/>
      </rPr>
      <t>A</t>
    </r>
    <r>
      <rPr>
        <b/>
        <sz val="14"/>
        <color rgb="FF000000"/>
        <rFont val="Corbel"/>
        <family val="2"/>
      </rPr>
      <t>*</t>
    </r>
    <r>
      <rPr>
        <b/>
        <sz val="14"/>
        <color rgb="FFFF0000"/>
        <rFont val="Corbel"/>
        <family val="2"/>
      </rPr>
      <t>B</t>
    </r>
    <r>
      <rPr>
        <b/>
        <sz val="14"/>
        <color rgb="FF000000"/>
        <rFont val="Corbel"/>
        <family val="2"/>
      </rPr>
      <t>)</t>
    </r>
  </si>
  <si>
    <t>Estimated Project Days</t>
  </si>
  <si>
    <t>Benchmark Cost</t>
  </si>
  <si>
    <t>Weighting</t>
  </si>
  <si>
    <t>Benchmark</t>
  </si>
  <si>
    <t>Upper Limit</t>
  </si>
  <si>
    <t>Range</t>
  </si>
  <si>
    <t>Maximum Score</t>
  </si>
  <si>
    <t>Staff Category - Key to Grades and Skills/Competencies</t>
  </si>
  <si>
    <t>Staff category</t>
  </si>
  <si>
    <t>Skills/competencies</t>
  </si>
  <si>
    <t>Senior Manager with company authority and responsibilities.  Able to make company commitments. Recognised world wide expertise/ leading expert.</t>
  </si>
  <si>
    <t>Specialist in field of expertise.  Leading/managing a technical area.  Contract manager with experience of managing multi-task/multidisciplinary projects of significant value</t>
  </si>
  <si>
    <t>Established expertise in their field. Able to communicate with senior executives. Proven experience at leading teams/work packages.</t>
  </si>
  <si>
    <t>Higher degree of appropriate knowledge and experience. Able to work with little supervision. Capable of original thought and developing solutions. Good communication skills.</t>
  </si>
  <si>
    <t>First degree or knowledge and experience appropriate to work.  Assisting with tasks and the supervision of junior staff.</t>
  </si>
  <si>
    <t>Appropriate experience to the tasks allocated to them.</t>
  </si>
  <si>
    <t>Bid</t>
  </si>
  <si>
    <t>Commercial Score (Audit Services)</t>
  </si>
  <si>
    <t>Audit Services Score</t>
  </si>
  <si>
    <t>Retrospective Discount</t>
  </si>
  <si>
    <t>Adjusted for Added Value Initiatives</t>
  </si>
  <si>
    <t>Model Audit Resource Commitment</t>
  </si>
  <si>
    <t>Model Audit £ per month</t>
  </si>
  <si>
    <t>Model Audit £ per Financial Year</t>
  </si>
  <si>
    <t>Audit Services</t>
  </si>
  <si>
    <t>Price Score</t>
  </si>
  <si>
    <t>Lowest Price</t>
  </si>
  <si>
    <t>Saving</t>
  </si>
  <si>
    <t>Audit Score</t>
  </si>
  <si>
    <t>Saving £</t>
  </si>
  <si>
    <t>Saving %</t>
  </si>
  <si>
    <t>Savings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</si>
</sst>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&quot;£&quot;#,##0.00"/>
    <numFmt numFmtId="166" formatCode="0.0000"/>
    <numFmt numFmtId="167" formatCode="[$£-809]#,##0;\-[$£-809]#,##0"/>
    <numFmt numFmtId="168" formatCode=";;;"/>
    <numFmt numFmtId="169" formatCode="#,##0_ ;[Red]\-#,##0\ "/>
    <numFmt numFmtId="170" formatCode="_-* #,##0_-;\-* #,##0_-;_-* &quot;-&quot;??_-;_-@_-"/>
  </numFmts>
  <fonts count="3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2"/>
      <color theme="1"/>
      <name val="Arial"/>
      <family val="2"/>
    </font>
    <font>
      <sz val="11"/>
      <color indexed="8"/>
      <name val="Calibri"/>
      <family val="2"/>
    </font>
    <font>
      <b/>
      <sz val="14"/>
      <color rgb="FFFFFFFF"/>
      <name val="Corbel"/>
      <family val="2"/>
    </font>
    <font>
      <sz val="14"/>
      <color theme="1"/>
      <name val="Corbel"/>
      <family val="2"/>
    </font>
    <font>
      <b/>
      <sz val="14"/>
      <color rgb="FF000000"/>
      <name val="Corbel"/>
      <family val="2"/>
    </font>
    <font>
      <sz val="14"/>
      <color rgb="FF000000"/>
      <name val="Corbel"/>
      <family val="2"/>
    </font>
    <font>
      <sz val="14"/>
      <name val="Corbel"/>
      <family val="2"/>
    </font>
    <font>
      <b/>
      <sz val="14"/>
      <color theme="1"/>
      <name val="Corbel"/>
      <family val="2"/>
    </font>
    <font>
      <b/>
      <sz val="14"/>
      <color rgb="FFFF0000"/>
      <name val="Corbel"/>
      <family val="2"/>
    </font>
    <font>
      <b/>
      <u/>
      <sz val="14"/>
      <color theme="1"/>
      <name val="Corbel"/>
      <family val="2"/>
    </font>
    <font>
      <sz val="10"/>
      <name val="Arial"/>
      <family val="2"/>
    </font>
    <font>
      <b/>
      <sz val="11"/>
      <color theme="1"/>
      <name val="Corbel"/>
      <family val="2"/>
    </font>
    <font>
      <i/>
      <sz val="11"/>
      <color rgb="FFFF0000"/>
      <name val="Corbel"/>
      <family val="2"/>
    </font>
    <font>
      <sz val="11"/>
      <name val="Corbel"/>
      <family val="2"/>
    </font>
    <font>
      <sz val="11"/>
      <color rgb="FFFF0000"/>
      <name val="Corbel"/>
      <family val="2"/>
    </font>
    <font>
      <sz val="12"/>
      <color theme="1"/>
      <name val="Corbel"/>
      <family val="2"/>
    </font>
    <font>
      <i/>
      <sz val="12"/>
      <color rgb="FFFF0000"/>
      <name val="Arial"/>
      <family val="2"/>
    </font>
    <font>
      <b/>
      <u/>
      <sz val="11"/>
      <color theme="1"/>
      <name val="Corbel"/>
      <family val="2"/>
    </font>
    <font>
      <sz val="11"/>
      <color indexed="8"/>
      <name val="Corbel"/>
      <family val="2"/>
    </font>
    <font>
      <b/>
      <sz val="9"/>
      <color indexed="81"/>
      <name val="Arial"/>
      <family val="2"/>
    </font>
    <font>
      <sz val="9"/>
      <color indexed="81"/>
      <name val="Arial"/>
      <family val="2"/>
    </font>
    <font>
      <b/>
      <sz val="14"/>
      <color rgb="FF002060"/>
      <name val="Corbel"/>
      <family val="2"/>
    </font>
    <font>
      <sz val="12"/>
      <name val="Corbel"/>
      <family val="2"/>
    </font>
    <font>
      <b/>
      <sz val="12"/>
      <name val="Corbel"/>
      <family val="2"/>
    </font>
    <font>
      <b/>
      <sz val="11"/>
      <name val="Corbel"/>
      <family val="2"/>
    </font>
    <font>
      <b/>
      <u/>
      <sz val="11"/>
      <name val="Corbel"/>
      <family val="2"/>
    </font>
    <font>
      <sz val="11"/>
      <color theme="0" tint="-0.34998626667073579"/>
      <name val="Corbel"/>
      <family val="2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161"/>
        <bgColor indexed="64"/>
      </patternFill>
    </fill>
    <fill>
      <patternFill patternType="solid">
        <fgColor rgb="FFE2F6E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7">
    <xf numFmtId="0" fontId="0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0" fontId="14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108">
    <xf numFmtId="0" fontId="0" fillId="0" borderId="0" xfId="0"/>
    <xf numFmtId="0" fontId="7" fillId="0" borderId="0" xfId="0" applyFont="1"/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9" fontId="9" fillId="0" borderId="2" xfId="1" applyFont="1" applyBorder="1" applyAlignment="1" applyProtection="1">
      <alignment vertical="center" wrapText="1"/>
      <protection locked="0"/>
    </xf>
    <xf numFmtId="6" fontId="7" fillId="0" borderId="0" xfId="0" applyNumberFormat="1" applyFont="1"/>
    <xf numFmtId="9" fontId="7" fillId="0" borderId="0" xfId="1" applyFont="1"/>
    <xf numFmtId="0" fontId="13" fillId="0" borderId="0" xfId="0" applyFont="1"/>
    <xf numFmtId="0" fontId="3" fillId="5" borderId="0" xfId="3" applyFill="1"/>
    <xf numFmtId="0" fontId="3" fillId="0" borderId="0" xfId="3"/>
    <xf numFmtId="2" fontId="3" fillId="0" borderId="0" xfId="6" applyNumberFormat="1" applyFont="1" applyBorder="1" applyAlignment="1">
      <alignment horizontal="center" vertical="center" wrapText="1"/>
    </xf>
    <xf numFmtId="0" fontId="3" fillId="0" borderId="0" xfId="6" applyFont="1" applyBorder="1" applyAlignment="1">
      <alignment horizontal="left" vertical="center" wrapText="1"/>
    </xf>
    <xf numFmtId="0" fontId="3" fillId="0" borderId="0" xfId="6" applyFont="1" applyBorder="1" applyAlignment="1">
      <alignment horizontal="center" vertical="center" wrapText="1"/>
    </xf>
    <xf numFmtId="165" fontId="7" fillId="0" borderId="0" xfId="0" applyNumberFormat="1" applyFont="1"/>
    <xf numFmtId="164" fontId="3" fillId="0" borderId="0" xfId="6" applyNumberFormat="1" applyFont="1" applyBorder="1" applyAlignment="1">
      <alignment horizontal="center" vertical="center" wrapText="1"/>
    </xf>
    <xf numFmtId="0" fontId="15" fillId="0" borderId="0" xfId="6" applyFont="1" applyBorder="1" applyAlignment="1">
      <alignment horizontal="center" vertical="center" wrapText="1"/>
    </xf>
    <xf numFmtId="164" fontId="15" fillId="0" borderId="0" xfId="6" applyNumberFormat="1" applyFont="1" applyBorder="1" applyAlignment="1">
      <alignment horizontal="center" vertical="center" wrapText="1"/>
    </xf>
    <xf numFmtId="0" fontId="15" fillId="0" borderId="0" xfId="6" applyFont="1" applyBorder="1" applyAlignment="1">
      <alignment horizontal="left" vertical="center" wrapText="1"/>
    </xf>
    <xf numFmtId="165" fontId="9" fillId="0" borderId="2" xfId="1" applyNumberFormat="1" applyFont="1" applyFill="1" applyBorder="1" applyAlignment="1" applyProtection="1">
      <alignment vertical="center" wrapText="1"/>
      <protection locked="0"/>
    </xf>
    <xf numFmtId="9" fontId="3" fillId="0" borderId="0" xfId="6" applyNumberFormat="1" applyFont="1" applyBorder="1" applyAlignment="1">
      <alignment horizontal="left" vertical="center" wrapText="1"/>
    </xf>
    <xf numFmtId="0" fontId="7" fillId="0" borderId="0" xfId="0" applyFont="1" applyBorder="1"/>
    <xf numFmtId="9" fontId="9" fillId="0" borderId="4" xfId="1" applyFont="1" applyBorder="1" applyAlignment="1">
      <alignment horizontal="right" vertical="center" wrapText="1"/>
    </xf>
    <xf numFmtId="9" fontId="9" fillId="0" borderId="1" xfId="1" applyFont="1" applyBorder="1" applyAlignment="1" applyProtection="1">
      <alignment vertical="center" wrapText="1"/>
      <protection locked="0"/>
    </xf>
    <xf numFmtId="43" fontId="17" fillId="0" borderId="0" xfId="10" applyFont="1" applyBorder="1" applyAlignment="1">
      <alignment horizontal="center" vertical="center" wrapText="1"/>
    </xf>
    <xf numFmtId="43" fontId="10" fillId="5" borderId="2" xfId="0" applyNumberFormat="1" applyFont="1" applyFill="1" applyBorder="1" applyAlignment="1">
      <alignment horizontal="right" vertical="center" wrapText="1"/>
    </xf>
    <xf numFmtId="17" fontId="15" fillId="0" borderId="0" xfId="6" applyNumberFormat="1" applyFont="1" applyBorder="1" applyAlignment="1">
      <alignment horizontal="center" vertical="center" wrapText="1"/>
    </xf>
    <xf numFmtId="9" fontId="10" fillId="5" borderId="2" xfId="1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43" fontId="15" fillId="0" borderId="0" xfId="6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43" fontId="16" fillId="6" borderId="0" xfId="10" applyFont="1" applyFill="1" applyBorder="1" applyAlignment="1">
      <alignment horizontal="center" vertical="center" wrapText="1"/>
    </xf>
    <xf numFmtId="9" fontId="10" fillId="5" borderId="4" xfId="1" applyFont="1" applyFill="1" applyBorder="1" applyAlignment="1">
      <alignment horizontal="right" vertical="center" wrapText="1"/>
    </xf>
    <xf numFmtId="43" fontId="16" fillId="6" borderId="6" xfId="10" applyFont="1" applyFill="1" applyBorder="1" applyAlignment="1">
      <alignment horizontal="center" vertical="center" wrapText="1"/>
    </xf>
    <xf numFmtId="43" fontId="16" fillId="6" borderId="7" xfId="10" applyFont="1" applyFill="1" applyBorder="1" applyAlignment="1">
      <alignment horizontal="center" vertical="center" wrapText="1"/>
    </xf>
    <xf numFmtId="43" fontId="16" fillId="6" borderId="8" xfId="10" applyFont="1" applyFill="1" applyBorder="1" applyAlignment="1">
      <alignment horizontal="center" vertical="center" wrapText="1"/>
    </xf>
    <xf numFmtId="43" fontId="16" fillId="6" borderId="9" xfId="10" applyFont="1" applyFill="1" applyBorder="1" applyAlignment="1">
      <alignment horizontal="center" vertical="center" wrapText="1"/>
    </xf>
    <xf numFmtId="43" fontId="16" fillId="6" borderId="10" xfId="10" applyFont="1" applyFill="1" applyBorder="1" applyAlignment="1">
      <alignment horizontal="center" vertical="center" wrapText="1"/>
    </xf>
    <xf numFmtId="43" fontId="16" fillId="6" borderId="11" xfId="10" applyFont="1" applyFill="1" applyBorder="1" applyAlignment="1">
      <alignment horizontal="center" vertical="center" wrapText="1"/>
    </xf>
    <xf numFmtId="43" fontId="16" fillId="6" borderId="12" xfId="10" applyFont="1" applyFill="1" applyBorder="1" applyAlignment="1">
      <alignment horizontal="center" vertical="center" wrapText="1"/>
    </xf>
    <xf numFmtId="43" fontId="16" fillId="6" borderId="13" xfId="1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9" fillId="0" borderId="0" xfId="0" applyNumberFormat="1" applyFont="1"/>
    <xf numFmtId="0" fontId="19" fillId="0" borderId="0" xfId="0" applyFont="1"/>
    <xf numFmtId="0" fontId="19" fillId="0" borderId="0" xfId="0" pivotButton="1" applyFont="1"/>
    <xf numFmtId="9" fontId="19" fillId="0" borderId="0" xfId="0" applyNumberFormat="1" applyFont="1"/>
    <xf numFmtId="165" fontId="7" fillId="0" borderId="4" xfId="0" applyNumberFormat="1" applyFont="1" applyBorder="1" applyAlignment="1">
      <alignment vertical="center" wrapText="1"/>
    </xf>
    <xf numFmtId="165" fontId="7" fillId="0" borderId="0" xfId="0" applyNumberFormat="1" applyFont="1" applyBorder="1" applyAlignment="1">
      <alignment vertical="center" wrapText="1"/>
    </xf>
    <xf numFmtId="8" fontId="9" fillId="0" borderId="3" xfId="0" applyNumberFormat="1" applyFont="1" applyBorder="1" applyAlignment="1">
      <alignment horizontal="right" vertical="center" wrapText="1"/>
    </xf>
    <xf numFmtId="8" fontId="8" fillId="0" borderId="5" xfId="0" applyNumberFormat="1" applyFont="1" applyBorder="1" applyAlignment="1">
      <alignment horizontal="right" vertical="center" wrapText="1"/>
    </xf>
    <xf numFmtId="164" fontId="20" fillId="6" borderId="0" xfId="0" applyNumberFormat="1" applyFont="1" applyFill="1"/>
    <xf numFmtId="43" fontId="3" fillId="0" borderId="0" xfId="6" applyNumberFormat="1" applyFont="1" applyBorder="1" applyAlignment="1">
      <alignment horizontal="center" vertical="center" wrapText="1"/>
    </xf>
    <xf numFmtId="43" fontId="9" fillId="0" borderId="4" xfId="0" applyNumberFormat="1" applyFont="1" applyBorder="1" applyAlignment="1">
      <alignment horizontal="right" vertical="center" wrapText="1"/>
    </xf>
    <xf numFmtId="166" fontId="10" fillId="0" borderId="0" xfId="0" applyNumberFormat="1" applyFont="1"/>
    <xf numFmtId="0" fontId="21" fillId="0" borderId="0" xfId="11" applyFont="1" applyAlignment="1">
      <alignment horizontal="center" vertical="center"/>
    </xf>
    <xf numFmtId="1" fontId="21" fillId="0" borderId="0" xfId="11" applyNumberFormat="1" applyFont="1" applyAlignment="1">
      <alignment horizontal="center" vertical="center"/>
    </xf>
    <xf numFmtId="167" fontId="19" fillId="0" borderId="0" xfId="12" applyNumberFormat="1" applyFont="1"/>
    <xf numFmtId="167" fontId="3" fillId="0" borderId="0" xfId="11" applyNumberFormat="1" applyFont="1"/>
    <xf numFmtId="2" fontId="22" fillId="0" borderId="0" xfId="13" applyNumberFormat="1" applyFont="1"/>
    <xf numFmtId="0" fontId="3" fillId="0" borderId="0" xfId="11" applyFont="1"/>
    <xf numFmtId="1" fontId="3" fillId="0" borderId="0" xfId="11" applyNumberFormat="1" applyFont="1"/>
    <xf numFmtId="0" fontId="9" fillId="0" borderId="1" xfId="0" applyFont="1" applyBorder="1" applyAlignment="1">
      <alignment vertical="center" wrapText="1"/>
    </xf>
    <xf numFmtId="9" fontId="10" fillId="0" borderId="2" xfId="1" applyFont="1" applyBorder="1" applyAlignment="1">
      <alignment horizontal="right" vertical="center" wrapText="1"/>
    </xf>
    <xf numFmtId="0" fontId="9" fillId="0" borderId="2" xfId="1" applyNumberFormat="1" applyFont="1" applyBorder="1" applyAlignment="1" applyProtection="1">
      <alignment vertical="center" wrapText="1"/>
      <protection locked="0"/>
    </xf>
    <xf numFmtId="165" fontId="9" fillId="0" borderId="2" xfId="1" applyNumberFormat="1" applyFont="1" applyBorder="1" applyAlignment="1" applyProtection="1">
      <alignment horizontal="right" vertical="center" wrapText="1"/>
      <protection locked="0"/>
    </xf>
    <xf numFmtId="6" fontId="9" fillId="0" borderId="2" xfId="0" applyNumberFormat="1" applyFont="1" applyBorder="1" applyAlignment="1" applyProtection="1">
      <alignment horizontal="right" vertical="center" wrapText="1"/>
      <protection locked="0"/>
    </xf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horizontal="right" vertical="center" wrapText="1"/>
    </xf>
    <xf numFmtId="9" fontId="9" fillId="0" borderId="23" xfId="1" applyFont="1" applyBorder="1" applyAlignment="1">
      <alignment horizontal="right" vertical="center" wrapText="1"/>
    </xf>
    <xf numFmtId="168" fontId="7" fillId="0" borderId="0" xfId="0" applyNumberFormat="1" applyFont="1"/>
    <xf numFmtId="0" fontId="7" fillId="0" borderId="7" xfId="0" applyFont="1" applyBorder="1"/>
    <xf numFmtId="0" fontId="7" fillId="0" borderId="8" xfId="0" applyFont="1" applyBorder="1"/>
    <xf numFmtId="6" fontId="9" fillId="0" borderId="4" xfId="0" applyNumberFormat="1" applyFont="1" applyBorder="1" applyAlignment="1">
      <alignment vertical="center" wrapText="1"/>
    </xf>
    <xf numFmtId="169" fontId="9" fillId="0" borderId="0" xfId="0" applyNumberFormat="1" applyFont="1" applyBorder="1" applyAlignment="1">
      <alignment vertical="center" wrapText="1"/>
    </xf>
    <xf numFmtId="6" fontId="9" fillId="0" borderId="0" xfId="0" applyNumberFormat="1" applyFont="1" applyBorder="1" applyAlignment="1">
      <alignment vertical="center" wrapText="1"/>
    </xf>
    <xf numFmtId="168" fontId="9" fillId="0" borderId="0" xfId="0" applyNumberFormat="1" applyFont="1" applyBorder="1" applyAlignment="1">
      <alignment vertical="center" wrapText="1"/>
    </xf>
    <xf numFmtId="0" fontId="11" fillId="0" borderId="0" xfId="0" applyFont="1"/>
    <xf numFmtId="169" fontId="8" fillId="0" borderId="0" xfId="0" applyNumberFormat="1" applyFont="1" applyBorder="1" applyAlignment="1">
      <alignment vertical="center" wrapText="1"/>
    </xf>
    <xf numFmtId="0" fontId="25" fillId="0" borderId="0" xfId="3" applyFont="1"/>
    <xf numFmtId="164" fontId="3" fillId="0" borderId="0" xfId="11" applyNumberFormat="1" applyFont="1"/>
    <xf numFmtId="0" fontId="26" fillId="0" borderId="0" xfId="14" applyFont="1"/>
    <xf numFmtId="0" fontId="27" fillId="0" borderId="0" xfId="14" applyFont="1"/>
    <xf numFmtId="0" fontId="28" fillId="0" borderId="24" xfId="14" applyFont="1" applyBorder="1" applyAlignment="1">
      <alignment horizontal="center" vertical="top" wrapText="1"/>
    </xf>
    <xf numFmtId="0" fontId="28" fillId="0" borderId="25" xfId="14" applyFont="1" applyBorder="1" applyAlignment="1">
      <alignment horizontal="center" vertical="top" wrapText="1"/>
    </xf>
    <xf numFmtId="0" fontId="17" fillId="0" borderId="26" xfId="14" applyFont="1" applyBorder="1" applyAlignment="1">
      <alignment horizontal="center" vertical="top"/>
    </xf>
    <xf numFmtId="0" fontId="17" fillId="0" borderId="13" xfId="14" applyFont="1" applyBorder="1" applyAlignment="1">
      <alignment vertical="top" wrapText="1"/>
    </xf>
    <xf numFmtId="0" fontId="29" fillId="0" borderId="0" xfId="11" applyFont="1" applyAlignment="1">
      <alignment horizontal="center" vertical="center"/>
    </xf>
    <xf numFmtId="167" fontId="26" fillId="0" borderId="0" xfId="4" applyNumberFormat="1" applyFont="1"/>
    <xf numFmtId="9" fontId="3" fillId="0" borderId="0" xfId="1" applyFont="1"/>
    <xf numFmtId="0" fontId="30" fillId="0" borderId="0" xfId="11" applyFont="1"/>
    <xf numFmtId="170" fontId="10" fillId="5" borderId="2" xfId="0" applyNumberFormat="1" applyFont="1" applyFill="1" applyBorder="1" applyAlignment="1">
      <alignment horizontal="right" vertical="center" wrapText="1"/>
    </xf>
    <xf numFmtId="0" fontId="15" fillId="0" borderId="0" xfId="6" applyFont="1" applyBorder="1" applyAlignment="1">
      <alignment horizontal="center" vertical="center" wrapText="1"/>
    </xf>
    <xf numFmtId="165" fontId="11" fillId="0" borderId="0" xfId="0" applyNumberFormat="1" applyFont="1"/>
    <xf numFmtId="0" fontId="15" fillId="0" borderId="0" xfId="6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6" fontId="9" fillId="0" borderId="7" xfId="0" applyNumberFormat="1" applyFont="1" applyBorder="1" applyAlignment="1">
      <alignment horizontal="left" vertical="center" wrapText="1"/>
    </xf>
    <xf numFmtId="0" fontId="9" fillId="4" borderId="17" xfId="0" applyFont="1" applyFill="1" applyBorder="1" applyAlignment="1">
      <alignment vertical="center" wrapText="1"/>
    </xf>
    <xf numFmtId="0" fontId="9" fillId="4" borderId="18" xfId="0" applyFont="1" applyFill="1" applyBorder="1" applyAlignment="1">
      <alignment vertical="center" wrapText="1"/>
    </xf>
    <xf numFmtId="0" fontId="9" fillId="4" borderId="1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</cellXfs>
  <cellStyles count="37">
    <cellStyle name="Comma" xfId="10" builtinId="3"/>
    <cellStyle name="Comma 2" xfId="7"/>
    <cellStyle name="Currency 2" xfId="4"/>
    <cellStyle name="Currency 2 2" xfId="5"/>
    <cellStyle name="Currency 2 2 2" xfId="12"/>
    <cellStyle name="Currency 3" xfId="9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Normal" xfId="0" builtinId="0"/>
    <cellStyle name="Normal 2" xfId="3"/>
    <cellStyle name="Normal 2 2" xfId="11"/>
    <cellStyle name="Normal 2 3" xfId="14"/>
    <cellStyle name="Normal 2_Example" xfId="13"/>
    <cellStyle name="Normal 3" xfId="6"/>
    <cellStyle name="Percent" xfId="1" builtinId="5"/>
    <cellStyle name="Percent 2" xfId="2"/>
    <cellStyle name="Percent 3" xfId="8"/>
  </cellStyles>
  <dxfs count="9">
    <dxf>
      <font>
        <name val="Corbel"/>
        <scheme val="none"/>
      </font>
    </dxf>
    <dxf>
      <font>
        <name val="Corbel"/>
        <scheme val="none"/>
      </font>
    </dxf>
    <dxf>
      <font>
        <name val="Corbel"/>
        <scheme val="none"/>
      </font>
    </dxf>
    <dxf>
      <font>
        <name val="Corbel"/>
        <scheme val="none"/>
      </font>
    </dxf>
    <dxf>
      <font>
        <name val="Corbel"/>
        <scheme val="none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Audit Services Score: Maximum = 15; Minimum = 0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1723154246115398E-2"/>
          <c:y val="7.1320390204969997E-2"/>
          <c:w val="0.899251546568403"/>
          <c:h val="0.7870062715403169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'Audit Services Score'!$C$1</c:f>
              <c:strCache>
                <c:ptCount val="1"/>
                <c:pt idx="0">
                  <c:v>Audit Services Score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'Audit Services Score'!$A$2:$A$31</c:f>
              <c:numCache>
                <c:formatCode>[$£-809]#,##0;\-[$£-809]#,##0</c:formatCode>
                <c:ptCount val="30"/>
                <c:pt idx="0">
                  <c:v>235000</c:v>
                </c:pt>
                <c:pt idx="1">
                  <c:v>237500</c:v>
                </c:pt>
                <c:pt idx="2">
                  <c:v>240000</c:v>
                </c:pt>
                <c:pt idx="3">
                  <c:v>242500</c:v>
                </c:pt>
                <c:pt idx="4">
                  <c:v>245000</c:v>
                </c:pt>
                <c:pt idx="5">
                  <c:v>247500</c:v>
                </c:pt>
                <c:pt idx="6">
                  <c:v>250000</c:v>
                </c:pt>
                <c:pt idx="7">
                  <c:v>252500</c:v>
                </c:pt>
                <c:pt idx="8">
                  <c:v>255000</c:v>
                </c:pt>
                <c:pt idx="9">
                  <c:v>257500</c:v>
                </c:pt>
                <c:pt idx="10">
                  <c:v>260000</c:v>
                </c:pt>
                <c:pt idx="11">
                  <c:v>262500</c:v>
                </c:pt>
                <c:pt idx="12">
                  <c:v>265000</c:v>
                </c:pt>
                <c:pt idx="13">
                  <c:v>267500</c:v>
                </c:pt>
                <c:pt idx="14">
                  <c:v>270000</c:v>
                </c:pt>
                <c:pt idx="15">
                  <c:v>272500</c:v>
                </c:pt>
                <c:pt idx="16">
                  <c:v>275000</c:v>
                </c:pt>
                <c:pt idx="17">
                  <c:v>277500</c:v>
                </c:pt>
                <c:pt idx="18">
                  <c:v>280000</c:v>
                </c:pt>
                <c:pt idx="19">
                  <c:v>282500</c:v>
                </c:pt>
                <c:pt idx="20">
                  <c:v>285000</c:v>
                </c:pt>
                <c:pt idx="21">
                  <c:v>287500</c:v>
                </c:pt>
                <c:pt idx="22">
                  <c:v>290000</c:v>
                </c:pt>
                <c:pt idx="23">
                  <c:v>292500</c:v>
                </c:pt>
                <c:pt idx="24">
                  <c:v>295000</c:v>
                </c:pt>
                <c:pt idx="25">
                  <c:v>297500</c:v>
                </c:pt>
                <c:pt idx="26">
                  <c:v>300000</c:v>
                </c:pt>
                <c:pt idx="27">
                  <c:v>302500</c:v>
                </c:pt>
                <c:pt idx="28">
                  <c:v>305000</c:v>
                </c:pt>
                <c:pt idx="29">
                  <c:v>307500</c:v>
                </c:pt>
              </c:numCache>
            </c:numRef>
          </c:cat>
          <c:val>
            <c:numRef>
              <c:f>'Audit Services Score'!$C$2:$C$32</c:f>
              <c:numCache>
                <c:formatCode>0.00</c:formatCode>
                <c:ptCount val="31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12</c:v>
                </c:pt>
                <c:pt idx="4">
                  <c:v>10</c:v>
                </c:pt>
                <c:pt idx="5">
                  <c:v>8</c:v>
                </c:pt>
                <c:pt idx="6">
                  <c:v>7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795424"/>
        <c:axId val="176950272"/>
      </c:barChart>
      <c:catAx>
        <c:axId val="176795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baseline="0"/>
                  <a:t>Net Commercial Offer £'s</a:t>
                </a:r>
                <a:endParaRPr lang="en-US"/>
              </a:p>
            </c:rich>
          </c:tx>
          <c:overlay val="0"/>
        </c:title>
        <c:numFmt formatCode="[$£-809]#,##0;\-[$£-809]#,##0" sourceLinked="1"/>
        <c:majorTickMark val="out"/>
        <c:minorTickMark val="none"/>
        <c:tickLblPos val="nextTo"/>
        <c:spPr>
          <a:ln/>
        </c:spPr>
        <c:txPr>
          <a:bodyPr rot="0"/>
          <a:lstStyle/>
          <a:p>
            <a:pPr>
              <a:defRPr/>
            </a:pPr>
            <a:endParaRPr lang="en-US"/>
          </a:p>
        </c:txPr>
        <c:crossAx val="176950272"/>
        <c:crossesAt val="0"/>
        <c:auto val="1"/>
        <c:lblAlgn val="ctr"/>
        <c:lblOffset val="10"/>
        <c:tickMarkSkip val="10"/>
        <c:noMultiLvlLbl val="0"/>
      </c:catAx>
      <c:valAx>
        <c:axId val="1769502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Audit Services Score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76795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672353</xdr:colOff>
      <xdr:row>13</xdr:row>
      <xdr:rowOff>161925</xdr:rowOff>
    </xdr:to>
    <xdr:pic>
      <xdr:nvPicPr>
        <xdr:cNvPr id="2" name="Picture 1" descr="A4 HS2 Header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44553" cy="26384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381000</xdr:colOff>
      <xdr:row>15</xdr:row>
      <xdr:rowOff>76199</xdr:rowOff>
    </xdr:from>
    <xdr:to>
      <xdr:col>9</xdr:col>
      <xdr:colOff>390525</xdr:colOff>
      <xdr:row>38</xdr:row>
      <xdr:rowOff>161364</xdr:rowOff>
    </xdr:to>
    <xdr:sp macro="" textlink="">
      <xdr:nvSpPr>
        <xdr:cNvPr id="3" name="TextBox 2"/>
        <xdr:cNvSpPr txBox="1"/>
      </xdr:nvSpPr>
      <xdr:spPr>
        <a:xfrm>
          <a:off x="381000" y="2765611"/>
          <a:ext cx="6706160" cy="42089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spcAft>
              <a:spcPts val="0"/>
            </a:spcAft>
          </a:pPr>
          <a:r>
            <a:rPr lang="en-GB" sz="2600" b="1">
              <a:solidFill>
                <a:srgbClr val="1F497D"/>
              </a:solidFill>
              <a:effectLst/>
              <a:latin typeface="Corbel"/>
              <a:ea typeface="Times New Roman"/>
            </a:rPr>
            <a:t>INVITATION TO TENDER (ITT) </a:t>
          </a:r>
          <a:endParaRPr lang="en-GB" sz="26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n-GB" sz="2600" b="1">
              <a:solidFill>
                <a:srgbClr val="1F497D"/>
              </a:solidFill>
              <a:effectLst/>
              <a:latin typeface="Corbel"/>
              <a:ea typeface="Times New Roman"/>
            </a:rPr>
            <a:t>for </a:t>
          </a:r>
          <a:endParaRPr lang="en-GB" sz="2600">
            <a:effectLst/>
            <a:latin typeface="Times New Roman"/>
            <a:ea typeface="Times New Roman"/>
          </a:endParaRPr>
        </a:p>
        <a:p>
          <a:pPr algn="l">
            <a:lnSpc>
              <a:spcPct val="115000"/>
            </a:lnSpc>
            <a:spcAft>
              <a:spcPts val="0"/>
            </a:spcAft>
          </a:pPr>
          <a:r>
            <a:rPr lang="en-GB" sz="2600" b="1">
              <a:solidFill>
                <a:srgbClr val="1F497D"/>
              </a:solidFill>
              <a:effectLst/>
              <a:latin typeface="Corbel"/>
              <a:ea typeface="Times New Roman"/>
              <a:cs typeface="Times New Roman"/>
            </a:rPr>
            <a:t>Implementation Audit of HS2 Ltd Transport Models &amp; Analysis</a:t>
          </a:r>
        </a:p>
        <a:p>
          <a:pPr algn="l">
            <a:lnSpc>
              <a:spcPct val="115000"/>
            </a:lnSpc>
            <a:spcAft>
              <a:spcPts val="0"/>
            </a:spcAft>
          </a:pPr>
          <a:r>
            <a:rPr lang="en-GB" sz="1100">
              <a:solidFill>
                <a:srgbClr val="1F497D"/>
              </a:solidFill>
              <a:effectLst/>
              <a:latin typeface="Corbel"/>
              <a:ea typeface="Times New Roman"/>
              <a:cs typeface="Times New Roman"/>
            </a:rPr>
            <a:t> </a:t>
          </a:r>
          <a:endParaRPr lang="en-GB" sz="1100">
            <a:effectLst/>
            <a:latin typeface="Corbel"/>
            <a:ea typeface="Times New Roman"/>
            <a:cs typeface="Times New Roman"/>
          </a:endParaRPr>
        </a:p>
        <a:p>
          <a:r>
            <a:rPr lang="en-GB" sz="2000" b="1">
              <a:solidFill>
                <a:srgbClr val="1F497D"/>
              </a:solidFill>
              <a:effectLst/>
              <a:latin typeface="Corbel"/>
              <a:ea typeface="Times New Roman"/>
              <a:cs typeface="Times New Roman"/>
            </a:rPr>
            <a:t>Ref HS2_644</a:t>
          </a:r>
          <a:r>
            <a:rPr lang="en-GB" sz="2600" b="1">
              <a:solidFill>
                <a:srgbClr val="1F497D"/>
              </a:solidFill>
              <a:effectLst/>
              <a:latin typeface="Corbel"/>
              <a:ea typeface="Times New Roman"/>
            </a:rPr>
            <a:t> </a:t>
          </a:r>
          <a:endParaRPr lang="en-GB" sz="26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n-GB" sz="2600" b="1">
              <a:solidFill>
                <a:srgbClr val="1F497D"/>
              </a:solidFill>
              <a:effectLst/>
              <a:latin typeface="Corbel"/>
              <a:ea typeface="Times New Roman"/>
            </a:rPr>
            <a:t> </a:t>
          </a:r>
          <a:endParaRPr lang="en-GB" sz="2600">
            <a:effectLst/>
            <a:latin typeface="Times New Roman"/>
            <a:ea typeface="Times New Roman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600" b="1">
              <a:solidFill>
                <a:srgbClr val="1F497D"/>
              </a:solidFill>
              <a:effectLst/>
              <a:latin typeface="Corbel"/>
              <a:ea typeface="Times New Roman"/>
              <a:cs typeface="Times New Roman"/>
            </a:rPr>
            <a:t>Appendix G - Commercial Templates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GB" sz="2600" b="1">
            <a:solidFill>
              <a:srgbClr val="1F497D"/>
            </a:solidFill>
            <a:effectLst/>
            <a:latin typeface="Corbel"/>
            <a:ea typeface="Times New Roman"/>
            <a:cs typeface="Times New Roman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2600" b="1">
              <a:solidFill>
                <a:srgbClr val="1F497D"/>
              </a:solidFill>
              <a:effectLst/>
              <a:latin typeface="Corbel"/>
              <a:ea typeface="Times New Roman"/>
              <a:cs typeface="Times New Roman"/>
            </a:rPr>
            <a:t>V1.01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2990850</xdr:colOff>
      <xdr:row>8</xdr:row>
      <xdr:rowOff>342900</xdr:rowOff>
    </xdr:from>
    <xdr:to>
      <xdr:col>2</xdr:col>
      <xdr:colOff>939437</xdr:colOff>
      <xdr:row>13</xdr:row>
      <xdr:rowOff>24465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0850" y="3219450"/>
          <a:ext cx="3139712" cy="9388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2905125</xdr:colOff>
      <xdr:row>8</xdr:row>
      <xdr:rowOff>381000</xdr:rowOff>
    </xdr:from>
    <xdr:ext cx="3143745" cy="937629"/>
    <xdr:sp macro="" textlink="">
      <xdr:nvSpPr>
        <xdr:cNvPr id="2" name="Rectangle 1"/>
        <xdr:cNvSpPr/>
      </xdr:nvSpPr>
      <xdr:spPr>
        <a:xfrm>
          <a:off x="2905125" y="3219450"/>
          <a:ext cx="314374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Example 2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2905124</xdr:colOff>
      <xdr:row>9</xdr:row>
      <xdr:rowOff>0</xdr:rowOff>
    </xdr:from>
    <xdr:ext cx="3143746" cy="937629"/>
    <xdr:sp macro="" textlink="">
      <xdr:nvSpPr>
        <xdr:cNvPr id="2" name="Rectangle 1"/>
        <xdr:cNvSpPr/>
      </xdr:nvSpPr>
      <xdr:spPr>
        <a:xfrm>
          <a:off x="2905124" y="3219450"/>
          <a:ext cx="314374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Example 3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10081" cy="561691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0.2444</cdr:x>
      <cdr:y>0.18329</cdr:y>
    </cdr:from>
    <cdr:to>
      <cdr:x>0.93446</cdr:x>
      <cdr:y>0.27582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5" name="TextBox 4"/>
            <cdr:cNvSpPr txBox="1"/>
          </cdr:nvSpPr>
          <cdr:spPr>
            <a:xfrm xmlns:a="http://schemas.openxmlformats.org/drawingml/2006/main">
              <a:off x="2279759" y="1119774"/>
              <a:ext cx="6436833" cy="56521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wrap="none" rtlCol="0"/>
            <a:lstStyle xmlns:a="http://schemas.openxmlformats.org/drawingml/2006/main"/>
            <a:p xmlns:a="http://schemas.openxmlformats.org/drawingml/2006/main"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n-GB" sz="1100" b="0" i="0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Audit</m:t>
                    </m:r>
                    <m:r>
                      <a:rPr lang="en-GB" sz="1100" b="0" i="0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sty m:val="p"/>
                      </m:rPr>
                      <a:rPr lang="en-GB" sz="1100" b="0" i="0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Services</m:t>
                    </m:r>
                    <m:r>
                      <a:rPr lang="en-GB" sz="1100" b="0" i="0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sty m:val="p"/>
                      </m:rPr>
                      <a:rPr lang="en-GB" sz="1100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Score</m:t>
                    </m:r>
                    <m:r>
                      <a:rPr lang="en-GB" sz="1100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r>
                      <m:rPr>
                        <m:sty m:val="p"/>
                      </m:rPr>
                      <a:rPr lang="en-GB" sz="1100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Maximum</m:t>
                    </m:r>
                    <m:r>
                      <a:rPr lang="en-GB" sz="1100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sty m:val="p"/>
                      </m:rPr>
                      <a:rPr lang="en-GB" sz="1100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Score</m:t>
                    </m:r>
                    <m:r>
                      <a:rPr lang="en-GB" sz="1100" i="1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r>
                      <m:rPr>
                        <m:sty m:val="p"/>
                      </m:rPr>
                      <a:rPr lang="en-GB" sz="1100"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INT</m:t>
                    </m:r>
                    <m:d>
                      <m:dPr>
                        <m:begChr m:val="{"/>
                        <m:endChr m:val="}"/>
                        <m:ctrlPr>
                          <a:rPr lang="en-GB" sz="1100" i="1"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unc>
                          <m:funcPr>
                            <m:ctrlPr>
                              <a:rPr lang="en-GB" sz="1100" i="1"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uncPr>
                          <m:fName>
                            <m:sSub>
                              <m:sSubPr>
                                <m:ctrlPr>
                                  <a:rPr lang="en-GB" sz="1100" i="1"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m:rPr>
                                    <m:sty m:val="p"/>
                                  </m:rPr>
                                  <a:rPr lang="en-GB" sz="1100"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log</m:t>
                                </m:r>
                              </m:e>
                              <m:sub>
                                <m:r>
                                  <a:rPr lang="en-GB" sz="1100"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10</m:t>
                                </m:r>
                              </m:sub>
                            </m:sSub>
                          </m:fName>
                          <m:e>
                            <m:d>
                              <m:dPr>
                                <m:ctrlPr>
                                  <a:rPr lang="en-GB" sz="1100" i="1"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d>
                                  <m:dPr>
                                    <m:begChr m:val="⌊"/>
                                    <m:endChr m:val="⌋"/>
                                    <m:ctrlPr>
                                      <a:rPr lang="en-GB" sz="1100" i="1"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dPr>
                                  <m:e>
                                    <m:f>
                                      <m:fPr>
                                        <m:ctrlPr>
                                          <a:rPr lang="en-GB" sz="1100" i="1"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fPr>
                                      <m:num>
                                        <m:r>
                                          <m:rPr>
                                            <m:sty m:val="p"/>
                                          </m:rPr>
                                          <a:rPr lang="en-GB" sz="1100"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Tender</m:t>
                                        </m:r>
                                        <m:r>
                                          <a:rPr lang="en-GB" sz="1100" i="1"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−</m:t>
                                        </m:r>
                                        <m:r>
                                          <m:rPr>
                                            <m:sty m:val="p"/>
                                          </m:rPr>
                                          <a:rPr lang="en-GB" sz="1100"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Benchmark</m:t>
                                        </m:r>
                                        <m:r>
                                          <a:rPr lang="en-GB" sz="1100"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 </m:t>
                                        </m:r>
                                      </m:num>
                                      <m:den>
                                        <m:r>
                                          <m:rPr>
                                            <m:sty m:val="p"/>
                                          </m:rPr>
                                          <a:rPr lang="en-GB" sz="1100"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Range</m:t>
                                        </m:r>
                                      </m:den>
                                    </m:f>
                                  </m:e>
                                </m:d>
                                <m:r>
                                  <a:rPr lang="en-GB" sz="1100"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×100</m:t>
                                </m:r>
                              </m:e>
                            </m:d>
                          </m:e>
                        </m:func>
                        <m:r>
                          <a:rPr lang="en-GB" sz="1100"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×</m:t>
                        </m:r>
                        <m:r>
                          <m:rPr>
                            <m:sty m:val="p"/>
                          </m:rPr>
                          <a:rPr lang="en-GB" sz="1100"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Weighting</m:t>
                        </m:r>
                      </m:e>
                    </m:d>
                  </m:oMath>
                </m:oMathPara>
              </a14:m>
              <a:endParaRPr lang="en-GB" sz="1100"/>
            </a:p>
          </cdr:txBody>
        </cdr:sp>
      </mc:Choice>
      <mc:Fallback xmlns="">
        <cdr:sp macro="" textlink="">
          <cdr:nvSpPr>
            <cdr:cNvPr id="5" name="TextBox 4"/>
            <cdr:cNvSpPr txBox="1"/>
          </cdr:nvSpPr>
          <cdr:spPr>
            <a:xfrm xmlns:a="http://schemas.openxmlformats.org/drawingml/2006/main">
              <a:off x="2279759" y="1119774"/>
              <a:ext cx="6436833" cy="56521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wrap="none" rtlCol="0"/>
            <a:lstStyle xmlns:a="http://schemas.openxmlformats.org/drawingml/2006/main"/>
            <a:p xmlns:a="http://schemas.openxmlformats.org/drawingml/2006/main">
              <a:pPr/>
              <a:r>
                <a:rPr lang="en-GB" sz="1100" b="0" i="0"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Audit Services </a:t>
              </a:r>
              <a:r>
                <a:rPr lang="en-GB" sz="1100" i="0"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Score=Maximum Score−INT{log_10⁡(⌊(Tender−Benchmark )/Range⌋×100)×Weighting}</a:t>
              </a:r>
              <a:endParaRPr lang="en-GB" sz="1100"/>
            </a:p>
          </cdr:txBody>
        </cdr:sp>
      </mc:Fallback>
    </mc:AlternateContent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rnard vanHaeften" refreshedDate="42387.691080555553" createdVersion="5" refreshedVersion="5" minRefreshableVersion="3" recordCount="6">
  <cacheSource type="worksheet">
    <worksheetSource ref="A2:O8" sheet="Total Resources"/>
  </cacheSource>
  <cacheFields count="15">
    <cacheField name="Name" numFmtId="9">
      <sharedItems count="96">
        <s v="Director"/>
        <s v="Managing"/>
        <s v="Principal"/>
        <s v="Senior"/>
        <s v="Consultant"/>
        <s v="Junior"/>
        <s v="John Taylor" u="1"/>
        <s v="Pawel Bugajski" u="1"/>
        <s v="Rodrigo Alonso" u="1"/>
        <s v="Radu Oprea" u="1"/>
        <s v="Jim Collins" u="1"/>
        <s v="Gabriela Cordero" u="1"/>
        <s v="David Lee" u="1"/>
        <s v="Andy Coates" u="1"/>
        <s v="Karl Jarvis" u="1"/>
        <s v="Dr Paul Read" u="1"/>
        <s v="Jie Zhu" u="1"/>
        <s v="Andrew Tucker" u="1"/>
        <s v="Ian Taylor" u="1"/>
        <s v="David Siddle" u="1"/>
        <s v="Matthew Jessop" u="1"/>
        <s v="Helen O'Mara" u="1"/>
        <s v="Noel Johnson" u="1"/>
        <s v="Simon Fielder" u="1"/>
        <s v="Jake Cartmell" u="1"/>
        <s v="Caroline Moore" u="1"/>
        <s v="Dan Fox" u="1"/>
        <s v="Aref Alipour" u="1"/>
        <s v="Andrew Davies" u="1"/>
        <s v="James Fox" u="1"/>
        <s v="James Parker" u="1"/>
        <s v="Luciana Pereira" u="1"/>
        <s v="Adil Chaudhrey" u="1"/>
        <s v="Eli Armstrong" u="1"/>
        <s v="Kris Wall" u="1"/>
        <s v="Tim Price" u="1"/>
        <s v="Precious Ikem" u="1"/>
        <s v="Ivy Chen" u="1"/>
        <s v="Louisa Martin" u="1"/>
        <s v="Stephen Rutherford" u="1"/>
        <s v="Richard Brown" u="1"/>
        <s v="Nicola Troll" u="1"/>
        <s v="Alexis Fuller" u="1"/>
        <s v="Tony Millward" u="1"/>
        <s v="Zaira Caicedo" u="1"/>
        <s v="Iman Sidhu" u="1"/>
        <s v="Dermot Hanney" u="1"/>
        <s v="Neil Chadwick" u="1"/>
        <s v="Daniel Aldridge" u="1"/>
        <s v="Julian Howes" u="1"/>
        <s v="Hermann Maier" u="1"/>
        <s v="Jorge Devesa Gallego" u="1"/>
        <s v="Chris Pownall" u="1"/>
        <s v="Jeffrey Asante" u="1"/>
        <s v="Richard Harris" u="1"/>
        <s v="Benedict Durrant" u="1"/>
        <s v="Jonathan Hale" u="1"/>
        <s v="Adrian Brown" u="1"/>
        <s v="John Hawthorne" u="1"/>
        <s v="Stuart Northall" u="1"/>
        <s v="Liz Hensby" u="1"/>
        <s v="Andrew Gordon" u="1"/>
        <s v="Dudley Morrell" u="1"/>
        <s v="Simon Sadler" u="1"/>
        <s v="Mark Weiner" u="1"/>
        <s v="Rendy Prakoso" u="1"/>
        <s v="Saumil Patel" u="1"/>
        <s v="Ian Siviter" u="1"/>
        <s v="Matt Carlson" u="1"/>
        <s v="Iris Ning" u="1"/>
        <s v="Joe Hodgkinson" u="1"/>
        <s v="Lillian Green" u="1"/>
        <s v="Andrew Currall" u="1"/>
        <s v="Chris Robinson" u="1"/>
        <s v="Elena Golovenko" u="1"/>
        <s v="Tamsin Macmillan" u="1"/>
        <s v="Mark Hudson" u="1"/>
        <s v="Emil Gegov" u="1"/>
        <s v="Mark Lambert" u="1"/>
        <s v="Frank Shorter" u="1"/>
        <s v="Andrew Rawcliffe" u="1"/>
        <s v="Humphrey Hodge" u="1"/>
        <s v="Matthew Turner" u="1"/>
        <s v="Jenny Taylor" u="1"/>
        <s v="Misratch Tilahun" u="1"/>
        <s v="Tim Hodder" u="1"/>
        <s v="Paul Hanson" u="1"/>
        <s v="John Kennedy" u="1"/>
        <s v="Sidi Sun" u="1"/>
        <s v="Oliver Baldwin" u="1"/>
        <s v="Emily Frith" u="1"/>
        <s v="John Siraut" u="1"/>
        <s v="Yvonne King" u="1"/>
        <s v="Jenny Cross" u="1"/>
        <s v="Sam Peng" u="1"/>
        <s v="Tali Diamant" u="1"/>
      </sharedItems>
    </cacheField>
    <cacheField name="Grade" numFmtId="0">
      <sharedItems/>
    </cacheField>
    <cacheField name="Day Rate " numFmtId="164">
      <sharedItems containsSemiMixedTypes="0" containsString="0" containsNumber="1" containsInteger="1" minValue="300" maxValue="1000"/>
    </cacheField>
    <cacheField name="Apr-16" numFmtId="43">
      <sharedItems containsSemiMixedTypes="0" containsString="0" containsNumber="1" minValue="2.25" maxValue="18"/>
    </cacheField>
    <cacheField name="May-16" numFmtId="43">
      <sharedItems containsSemiMixedTypes="0" containsString="0" containsNumber="1" minValue="1.5" maxValue="13.5"/>
    </cacheField>
    <cacheField name="Jun-16" numFmtId="43">
      <sharedItems containsSemiMixedTypes="0" containsString="0" containsNumber="1" minValue="1.75" maxValue="15"/>
    </cacheField>
    <cacheField name="Jul-16" numFmtId="43">
      <sharedItems containsSemiMixedTypes="0" containsString="0" containsNumber="1" minValue="2.25" maxValue="18"/>
    </cacheField>
    <cacheField name="Aug-16" numFmtId="43">
      <sharedItems containsSemiMixedTypes="0" containsString="0" containsNumber="1" minValue="1.5" maxValue="13.5"/>
    </cacheField>
    <cacheField name="Sep-16" numFmtId="43">
      <sharedItems containsSemiMixedTypes="0" containsString="0" containsNumber="1" minValue="1.75" maxValue="15"/>
    </cacheField>
    <cacheField name="Oct-16" numFmtId="43">
      <sharedItems containsSemiMixedTypes="0" containsString="0" containsNumber="1" minValue="0.75" maxValue="6.75"/>
    </cacheField>
    <cacheField name="Nov-16" numFmtId="43">
      <sharedItems containsSemiMixedTypes="0" containsString="0" containsNumber="1" containsInteger="1" minValue="1" maxValue="9"/>
    </cacheField>
    <cacheField name="Dec-16" numFmtId="43">
      <sharedItems containsSemiMixedTypes="0" containsString="0" containsNumber="1" minValue="3" maxValue="23.5"/>
    </cacheField>
    <cacheField name="Jan-17" numFmtId="43">
      <sharedItems containsSemiMixedTypes="0" containsString="0" containsNumber="1" containsInteger="1" minValue="1" maxValue="9"/>
    </cacheField>
    <cacheField name="Feb-17" numFmtId="43">
      <sharedItems containsSemiMixedTypes="0" containsString="0" containsNumber="1" minValue="1.5" maxValue="13.5"/>
    </cacheField>
    <cacheField name="Mar-17" numFmtId="43">
      <sharedItems containsSemiMixedTypes="0" containsString="0" containsNumber="1" containsInteger="1" minValue="1" maxValue="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s v="Director / Partner"/>
    <n v="1000"/>
    <n v="2.25"/>
    <n v="1.5"/>
    <n v="1.75"/>
    <n v="2.25"/>
    <n v="1.5"/>
    <n v="1.75"/>
    <n v="0.75"/>
    <n v="1"/>
    <n v="3"/>
    <n v="1"/>
    <n v="1.5"/>
    <n v="1"/>
  </r>
  <r>
    <x v="1"/>
    <s v="Managing Consultant"/>
    <n v="800"/>
    <n v="8"/>
    <n v="4.5"/>
    <n v="6.25"/>
    <n v="8"/>
    <n v="4.5"/>
    <n v="6.25"/>
    <n v="1.25"/>
    <n v="3"/>
    <n v="11.25"/>
    <n v="3"/>
    <n v="4.5"/>
    <n v="3"/>
  </r>
  <r>
    <x v="2"/>
    <s v="Assistant Director / Principal Consultant"/>
    <n v="600"/>
    <n v="16"/>
    <n v="10"/>
    <n v="13.75"/>
    <n v="16"/>
    <n v="10"/>
    <n v="13.75"/>
    <n v="6.75"/>
    <n v="9"/>
    <n v="21"/>
    <n v="9"/>
    <n v="10"/>
    <n v="9"/>
  </r>
  <r>
    <x v="3"/>
    <s v="Senior Consultant"/>
    <n v="500"/>
    <n v="8"/>
    <n v="5.25"/>
    <n v="6.75"/>
    <n v="8"/>
    <n v="5.25"/>
    <n v="6.75"/>
    <n v="2.75"/>
    <n v="4"/>
    <n v="10.75"/>
    <n v="4"/>
    <n v="5.25"/>
    <n v="4"/>
  </r>
  <r>
    <x v="4"/>
    <s v="Consultant"/>
    <n v="400"/>
    <n v="7.75"/>
    <n v="5.25"/>
    <n v="6.5"/>
    <n v="7.75"/>
    <n v="5.25"/>
    <n v="6.5"/>
    <n v="2.5"/>
    <n v="4"/>
    <n v="10.5"/>
    <n v="4"/>
    <n v="5.25"/>
    <n v="4"/>
  </r>
  <r>
    <x v="5"/>
    <s v="Junior Consultant"/>
    <n v="300"/>
    <n v="18"/>
    <n v="13.5"/>
    <n v="15"/>
    <n v="18"/>
    <n v="13.5"/>
    <n v="15"/>
    <n v="6"/>
    <n v="9"/>
    <n v="23.5"/>
    <n v="9"/>
    <n v="13.5"/>
    <n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0" dataOnRows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H16" firstHeaderRow="1" firstDataRow="2" firstDataCol="1"/>
  <pivotFields count="15">
    <pivotField axis="axisCol" showAll="0" sortType="ascending">
      <items count="97">
        <item m="1" x="32"/>
        <item m="1" x="57"/>
        <item m="1" x="42"/>
        <item m="1" x="72"/>
        <item m="1" x="28"/>
        <item m="1" x="61"/>
        <item m="1" x="80"/>
        <item m="1" x="17"/>
        <item m="1" x="13"/>
        <item m="1" x="27"/>
        <item m="1" x="55"/>
        <item m="1" x="25"/>
        <item m="1" x="52"/>
        <item m="1" x="73"/>
        <item x="4"/>
        <item m="1" x="26"/>
        <item m="1" x="48"/>
        <item m="1" x="12"/>
        <item m="1" x="19"/>
        <item m="1" x="46"/>
        <item x="0"/>
        <item m="1" x="15"/>
        <item m="1" x="62"/>
        <item m="1" x="74"/>
        <item m="1" x="33"/>
        <item m="1" x="77"/>
        <item m="1" x="90"/>
        <item m="1" x="79"/>
        <item m="1" x="11"/>
        <item m="1" x="21"/>
        <item m="1" x="50"/>
        <item m="1" x="81"/>
        <item m="1" x="67"/>
        <item m="1" x="18"/>
        <item m="1" x="45"/>
        <item m="1" x="69"/>
        <item m="1" x="37"/>
        <item m="1" x="24"/>
        <item m="1" x="29"/>
        <item m="1" x="30"/>
        <item m="1" x="53"/>
        <item m="1" x="93"/>
        <item m="1" x="83"/>
        <item m="1" x="16"/>
        <item m="1" x="10"/>
        <item m="1" x="70"/>
        <item m="1" x="58"/>
        <item m="1" x="87"/>
        <item m="1" x="91"/>
        <item m="1" x="6"/>
        <item m="1" x="56"/>
        <item m="1" x="51"/>
        <item m="1" x="49"/>
        <item x="5"/>
        <item m="1" x="14"/>
        <item m="1" x="34"/>
        <item m="1" x="71"/>
        <item m="1" x="60"/>
        <item m="1" x="38"/>
        <item m="1" x="31"/>
        <item x="1"/>
        <item m="1" x="76"/>
        <item m="1" x="78"/>
        <item m="1" x="64"/>
        <item m="1" x="68"/>
        <item m="1" x="20"/>
        <item m="1" x="82"/>
        <item m="1" x="84"/>
        <item m="1" x="47"/>
        <item m="1" x="41"/>
        <item m="1" x="22"/>
        <item m="1" x="89"/>
        <item m="1" x="86"/>
        <item m="1" x="7"/>
        <item m="1" x="36"/>
        <item x="2"/>
        <item m="1" x="9"/>
        <item m="1" x="65"/>
        <item m="1" x="40"/>
        <item m="1" x="54"/>
        <item m="1" x="8"/>
        <item m="1" x="94"/>
        <item m="1" x="66"/>
        <item x="3"/>
        <item m="1" x="88"/>
        <item m="1" x="23"/>
        <item m="1" x="63"/>
        <item m="1" x="39"/>
        <item m="1" x="59"/>
        <item m="1" x="95"/>
        <item m="1" x="75"/>
        <item m="1" x="85"/>
        <item m="1" x="35"/>
        <item m="1" x="43"/>
        <item m="1" x="92"/>
        <item m="1" x="44"/>
        <item t="default"/>
      </items>
    </pivotField>
    <pivotField showAll="0"/>
    <pivotField numFmtId="164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</pivotFields>
  <rowFields count="1">
    <field x="-2"/>
  </rowFields>
  <row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rowItems>
  <colFields count="1">
    <field x="0"/>
  </colFields>
  <colItems count="7">
    <i>
      <x v="14"/>
    </i>
    <i>
      <x v="20"/>
    </i>
    <i>
      <x v="53"/>
    </i>
    <i>
      <x v="60"/>
    </i>
    <i>
      <x v="75"/>
    </i>
    <i>
      <x v="83"/>
    </i>
    <i t="grand">
      <x/>
    </i>
  </colItems>
  <dataFields count="12">
    <dataField name="Sum of Apr-16" fld="3" baseField="0" baseItem="0"/>
    <dataField name="Sum of May-16" fld="4" baseField="0" baseItem="0"/>
    <dataField name="Sum of Jun-16" fld="5" baseField="0" baseItem="0"/>
    <dataField name="Sum of Jul-16" fld="6" baseField="0" baseItem="0"/>
    <dataField name="Sum of Aug-16" fld="7" baseField="0" baseItem="0"/>
    <dataField name="Sum of Sep-16" fld="8" baseField="0" baseItem="0"/>
    <dataField name="Sum of Oct-16" fld="9" baseField="0" baseItem="0"/>
    <dataField name="Sum of Nov-16" fld="10" baseField="0" baseItem="0"/>
    <dataField name="Sum of Dec-16" fld="11" baseField="0" baseItem="0"/>
    <dataField name="Sum of Jan-17" fld="12" baseField="0" baseItem="0"/>
    <dataField name="Sum of Feb-17" fld="13" baseField="0" baseItem="0"/>
    <dataField name="Sum of Mar-17" fld="14" baseField="0" baseItem="0"/>
  </dataFields>
  <formats count="5">
    <format dxfId="4">
      <pivotArea type="all" dataOnly="0" outline="0" fieldPosition="0"/>
    </format>
    <format dxfId="3">
      <pivotArea outline="0" collapsedLevelsAreSubtotals="1" fieldPosition="0"/>
    </format>
    <format dxfId="2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view="pageBreakPreview" zoomScaleSheetLayoutView="100" workbookViewId="0">
      <selection activeCell="I68" sqref="I68"/>
    </sheetView>
  </sheetViews>
  <sheetFormatPr defaultColWidth="8.88671875" defaultRowHeight="15" x14ac:dyDescent="0.25"/>
  <cols>
    <col min="1" max="16384" width="8.88671875" style="9"/>
  </cols>
  <sheetData>
    <row r="1" spans="1:1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1:1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25">
      <c r="J51" s="8"/>
      <c r="K51" s="8"/>
    </row>
  </sheetData>
  <pageMargins left="0" right="0.27559055118110237" top="0.43307086614173229" bottom="0.74803149606299213" header="0.31496062992125984" footer="0.31496062992125984"/>
  <pageSetup paperSize="9" scale="85" orientation="portrait" r:id="rId1"/>
  <colBreaks count="1" manualBreakCount="1">
    <brk id="11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E25" sqref="E25"/>
    </sheetView>
  </sheetViews>
  <sheetFormatPr defaultColWidth="11.5546875" defaultRowHeight="18.75" x14ac:dyDescent="0.3"/>
  <cols>
    <col min="1" max="1" width="47" style="1" customWidth="1"/>
    <col min="2" max="2" width="13.5546875" style="1" customWidth="1"/>
    <col min="3" max="3" width="11.5546875" style="1"/>
    <col min="4" max="5" width="12.109375" style="1" customWidth="1"/>
    <col min="6" max="16384" width="11.5546875" style="1"/>
  </cols>
  <sheetData>
    <row r="1" spans="1:8" ht="27.95" customHeight="1" x14ac:dyDescent="0.3">
      <c r="A1" s="103" t="s">
        <v>66</v>
      </c>
      <c r="B1" s="104"/>
      <c r="C1" s="104"/>
      <c r="D1" s="104"/>
      <c r="E1" s="104"/>
      <c r="F1" s="104"/>
    </row>
    <row r="2" spans="1:8" ht="93.75" x14ac:dyDescent="0.3">
      <c r="A2" s="2" t="s">
        <v>0</v>
      </c>
      <c r="B2" s="3" t="s">
        <v>67</v>
      </c>
      <c r="C2" s="3" t="s">
        <v>49</v>
      </c>
      <c r="D2" s="3" t="s">
        <v>68</v>
      </c>
      <c r="E2" s="3" t="s">
        <v>69</v>
      </c>
      <c r="F2" s="3" t="s">
        <v>70</v>
      </c>
    </row>
    <row r="3" spans="1:8" x14ac:dyDescent="0.3">
      <c r="A3" s="61" t="s">
        <v>1</v>
      </c>
      <c r="B3" s="90">
        <v>20</v>
      </c>
      <c r="C3" s="62">
        <f>B3/$B$9</f>
        <v>3.7735849056603772E-2</v>
      </c>
      <c r="D3" s="63" t="s">
        <v>7</v>
      </c>
      <c r="E3" s="64">
        <v>1300</v>
      </c>
      <c r="F3" s="65">
        <f>IFERROR(B3*E3,"tbc")</f>
        <v>26000</v>
      </c>
    </row>
    <row r="4" spans="1:8" x14ac:dyDescent="0.3">
      <c r="A4" s="61" t="s">
        <v>2</v>
      </c>
      <c r="B4" s="90">
        <v>80</v>
      </c>
      <c r="C4" s="62">
        <f t="shared" ref="C4:C8" si="0">B4/$B$9</f>
        <v>0.15094339622641509</v>
      </c>
      <c r="D4" s="63" t="s">
        <v>7</v>
      </c>
      <c r="E4" s="64">
        <v>975</v>
      </c>
      <c r="F4" s="65">
        <f t="shared" ref="F4:F8" si="1">IFERROR(B4*E4,"tbc")</f>
        <v>78000</v>
      </c>
    </row>
    <row r="5" spans="1:8" x14ac:dyDescent="0.3">
      <c r="A5" s="61" t="s">
        <v>3</v>
      </c>
      <c r="B5" s="90">
        <v>80</v>
      </c>
      <c r="C5" s="62">
        <f t="shared" si="0"/>
        <v>0.15094339622641509</v>
      </c>
      <c r="D5" s="63" t="s">
        <v>7</v>
      </c>
      <c r="E5" s="64">
        <v>850</v>
      </c>
      <c r="F5" s="65">
        <f t="shared" si="1"/>
        <v>68000</v>
      </c>
    </row>
    <row r="6" spans="1:8" x14ac:dyDescent="0.3">
      <c r="A6" s="61" t="s">
        <v>4</v>
      </c>
      <c r="B6" s="90">
        <v>90</v>
      </c>
      <c r="C6" s="62">
        <f t="shared" si="0"/>
        <v>0.16981132075471697</v>
      </c>
      <c r="D6" s="63" t="s">
        <v>7</v>
      </c>
      <c r="E6" s="64">
        <v>700</v>
      </c>
      <c r="F6" s="65">
        <f t="shared" si="1"/>
        <v>63000</v>
      </c>
    </row>
    <row r="7" spans="1:8" x14ac:dyDescent="0.3">
      <c r="A7" s="61" t="s">
        <v>5</v>
      </c>
      <c r="B7" s="90">
        <v>90</v>
      </c>
      <c r="C7" s="62">
        <f t="shared" si="0"/>
        <v>0.16981132075471697</v>
      </c>
      <c r="D7" s="63" t="s">
        <v>7</v>
      </c>
      <c r="E7" s="64">
        <v>550</v>
      </c>
      <c r="F7" s="65">
        <f t="shared" si="1"/>
        <v>49500</v>
      </c>
    </row>
    <row r="8" spans="1:8" x14ac:dyDescent="0.3">
      <c r="A8" s="61" t="s">
        <v>6</v>
      </c>
      <c r="B8" s="90">
        <v>170</v>
      </c>
      <c r="C8" s="62">
        <f t="shared" si="0"/>
        <v>0.32075471698113206</v>
      </c>
      <c r="D8" s="63" t="s">
        <v>7</v>
      </c>
      <c r="E8" s="64">
        <v>425</v>
      </c>
      <c r="F8" s="65">
        <f t="shared" si="1"/>
        <v>72250</v>
      </c>
    </row>
    <row r="9" spans="1:8" ht="19.5" thickBot="1" x14ac:dyDescent="0.35">
      <c r="A9" s="66" t="s">
        <v>71</v>
      </c>
      <c r="B9" s="67">
        <f>SUM(B3:B8)</f>
        <v>530</v>
      </c>
      <c r="C9" s="68">
        <f>SUM(C3:C8)</f>
        <v>1</v>
      </c>
      <c r="D9" s="105"/>
      <c r="E9" s="105"/>
      <c r="F9" s="105"/>
      <c r="H9" s="69"/>
    </row>
    <row r="10" spans="1:8" ht="15.95" customHeight="1" thickBot="1" x14ac:dyDescent="0.35">
      <c r="A10" s="70"/>
      <c r="B10" s="70"/>
      <c r="C10" s="71"/>
      <c r="D10" s="106" t="s">
        <v>72</v>
      </c>
      <c r="E10" s="107"/>
      <c r="F10" s="72">
        <f>SUM(F3:F8)</f>
        <v>356750</v>
      </c>
      <c r="G10" s="75"/>
      <c r="H10" s="73"/>
    </row>
    <row r="11" spans="1:8" x14ac:dyDescent="0.3">
      <c r="G11" s="75"/>
    </row>
    <row r="12" spans="1:8" x14ac:dyDescent="0.3">
      <c r="A12" s="1" t="s">
        <v>8</v>
      </c>
      <c r="F12" s="74"/>
      <c r="G12" s="75"/>
      <c r="H12" s="73"/>
    </row>
    <row r="13" spans="1:8" x14ac:dyDescent="0.3">
      <c r="F13" s="74"/>
      <c r="G13" s="73"/>
      <c r="H13" s="73"/>
    </row>
    <row r="14" spans="1:8" x14ac:dyDescent="0.3">
      <c r="A14" s="7" t="s">
        <v>9</v>
      </c>
      <c r="B14" s="7" t="s">
        <v>14</v>
      </c>
    </row>
    <row r="15" spans="1:8" x14ac:dyDescent="0.3">
      <c r="A15" s="1" t="s">
        <v>1</v>
      </c>
      <c r="B15" s="1" t="s">
        <v>7</v>
      </c>
      <c r="E15" s="5" t="str">
        <f t="shared" ref="E15:E20" si="2">IFERROR(B15*E3,"tbc")</f>
        <v>tbc</v>
      </c>
    </row>
    <row r="16" spans="1:8" x14ac:dyDescent="0.3">
      <c r="A16" s="1" t="s">
        <v>2</v>
      </c>
      <c r="B16" s="1" t="s">
        <v>7</v>
      </c>
      <c r="E16" s="5" t="str">
        <f t="shared" si="2"/>
        <v>tbc</v>
      </c>
    </row>
    <row r="17" spans="1:8" x14ac:dyDescent="0.3">
      <c r="A17" s="1" t="s">
        <v>3</v>
      </c>
      <c r="B17" s="1" t="s">
        <v>7</v>
      </c>
      <c r="E17" s="5" t="str">
        <f t="shared" si="2"/>
        <v>tbc</v>
      </c>
    </row>
    <row r="18" spans="1:8" x14ac:dyDescent="0.3">
      <c r="A18" s="1" t="s">
        <v>4</v>
      </c>
      <c r="B18" s="1" t="s">
        <v>7</v>
      </c>
      <c r="E18" s="5" t="str">
        <f t="shared" si="2"/>
        <v>tbc</v>
      </c>
    </row>
    <row r="19" spans="1:8" x14ac:dyDescent="0.3">
      <c r="A19" s="1" t="s">
        <v>5</v>
      </c>
      <c r="B19" s="1" t="s">
        <v>7</v>
      </c>
      <c r="E19" s="5" t="str">
        <f t="shared" si="2"/>
        <v>tbc</v>
      </c>
    </row>
    <row r="20" spans="1:8" x14ac:dyDescent="0.3">
      <c r="A20" s="1" t="s">
        <v>6</v>
      </c>
      <c r="B20" s="1" t="s">
        <v>7</v>
      </c>
      <c r="E20" s="5" t="str">
        <f t="shared" si="2"/>
        <v>tbc</v>
      </c>
    </row>
    <row r="22" spans="1:8" x14ac:dyDescent="0.3">
      <c r="A22" s="1" t="s">
        <v>10</v>
      </c>
      <c r="E22" s="5">
        <f>SUM(E15:E20)</f>
        <v>0</v>
      </c>
      <c r="F22" s="5">
        <f>F10-E22</f>
        <v>356750</v>
      </c>
    </row>
    <row r="23" spans="1:8" x14ac:dyDescent="0.3">
      <c r="E23" s="5"/>
      <c r="F23" s="5"/>
    </row>
    <row r="24" spans="1:8" x14ac:dyDescent="0.3">
      <c r="A24" s="1" t="s">
        <v>90</v>
      </c>
      <c r="E24" s="6">
        <v>0</v>
      </c>
      <c r="F24" s="5">
        <f>F22*E24</f>
        <v>0</v>
      </c>
    </row>
    <row r="25" spans="1:8" x14ac:dyDescent="0.3">
      <c r="F25" s="5"/>
    </row>
    <row r="26" spans="1:8" x14ac:dyDescent="0.3">
      <c r="A26" s="1" t="s">
        <v>91</v>
      </c>
      <c r="F26" s="5">
        <f>F22-F24</f>
        <v>356750</v>
      </c>
      <c r="G26" s="75">
        <f>F26-Target</f>
        <v>116750</v>
      </c>
    </row>
    <row r="27" spans="1:8" x14ac:dyDescent="0.3">
      <c r="F27" s="5"/>
      <c r="G27" s="75"/>
    </row>
    <row r="28" spans="1:8" x14ac:dyDescent="0.3">
      <c r="A28" s="76" t="s">
        <v>64</v>
      </c>
      <c r="F28" s="73" t="str">
        <f>IF(G26&lt;=0,Maximum_Score,IF(F26&gt;UpperLimit,"",Maximum_Score-INT(Weighting*(LOG10(((F26-Target)/Range)*100)))))</f>
        <v/>
      </c>
      <c r="H28" s="77"/>
    </row>
  </sheetData>
  <sheetProtection selectLockedCells="1"/>
  <mergeCells count="3">
    <mergeCell ref="A1:F1"/>
    <mergeCell ref="D9:F9"/>
    <mergeCell ref="D10:E10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"/>
  <sheetViews>
    <sheetView workbookViewId="0">
      <selection activeCell="E7" sqref="E7"/>
    </sheetView>
  </sheetViews>
  <sheetFormatPr defaultColWidth="8.6640625" defaultRowHeight="15.75" x14ac:dyDescent="0.25"/>
  <cols>
    <col min="1" max="1" width="11.6640625" style="59" customWidth="1"/>
    <col min="2" max="3" width="9.6640625" style="59" customWidth="1"/>
    <col min="4" max="4" width="13.33203125" style="60" bestFit="1" customWidth="1"/>
    <col min="5" max="5" width="13.33203125" style="59" bestFit="1" customWidth="1"/>
    <col min="6" max="6" width="13.33203125" bestFit="1" customWidth="1"/>
    <col min="8" max="16384" width="8.6640625" style="59"/>
  </cols>
  <sheetData>
    <row r="1" spans="1:6" s="54" customFormat="1" ht="15" x14ac:dyDescent="0.2">
      <c r="A1" s="54" t="s">
        <v>62</v>
      </c>
      <c r="B1" s="54" t="s">
        <v>100</v>
      </c>
      <c r="C1" s="54" t="s">
        <v>101</v>
      </c>
      <c r="D1" s="55" t="s">
        <v>99</v>
      </c>
      <c r="E1" s="54" t="s">
        <v>102</v>
      </c>
      <c r="F1" s="54" t="s">
        <v>64</v>
      </c>
    </row>
    <row r="2" spans="1:6" x14ac:dyDescent="0.25">
      <c r="A2" s="56">
        <v>123000</v>
      </c>
      <c r="B2" s="57">
        <f>'Calculate Commercial Score'!A2-Target</f>
        <v>-117000</v>
      </c>
      <c r="C2" s="88">
        <f>IF(A2&gt;UpperLimit,0,((UpperLimit-A2)/UpperLimit))</f>
        <v>0.61562499999999998</v>
      </c>
      <c r="D2" s="58">
        <f>IF(B2&lt;=0,Maximum_Score,IF(B2=Range,1,Maximum_Score-INT(Weighting*(LOG10(((A2-Target)/Range)*100)))))</f>
        <v>15</v>
      </c>
      <c r="E2" s="58">
        <f>IF(A2=Target,0,IF(A2&gt;Target,"",INT(Weighting*(LOG10(((Target-A2)/Target)*100)))))</f>
        <v>12</v>
      </c>
      <c r="F2" s="58">
        <f>D2+E2</f>
        <v>27</v>
      </c>
    </row>
    <row r="3" spans="1:6" x14ac:dyDescent="0.25">
      <c r="F3" s="58"/>
    </row>
    <row r="4" spans="1:6" x14ac:dyDescent="0.25">
      <c r="A4" s="54" t="s">
        <v>65</v>
      </c>
      <c r="B4" s="54" t="s">
        <v>100</v>
      </c>
      <c r="C4" s="54" t="s">
        <v>101</v>
      </c>
      <c r="D4" s="55" t="s">
        <v>99</v>
      </c>
      <c r="E4" s="54" t="s">
        <v>102</v>
      </c>
      <c r="F4" s="54" t="s">
        <v>64</v>
      </c>
    </row>
    <row r="5" spans="1:6" x14ac:dyDescent="0.25">
      <c r="A5" s="56">
        <v>0</v>
      </c>
      <c r="B5" s="57">
        <f>'Calculate Commercial Score'!A5-Target</f>
        <v>-240000</v>
      </c>
      <c r="C5" s="88">
        <f>IF(A5&gt;UpperLimit,0,((UpperLimit-A5)/UpperLimit))</f>
        <v>1</v>
      </c>
      <c r="D5" s="58">
        <f>IF(B5&lt;=0,Maximum_Score,IF(B5=Range,1,Maximum_Score-INT(Weighting*(LOG10(((A5-Target)/Range)*100)))))</f>
        <v>15</v>
      </c>
      <c r="E5" s="58">
        <f>IF(A5=Target,0,IF(A5&gt;Target,"",INT(Weighting*(LOG10(((Target-A5)/Target)*100)))))</f>
        <v>15</v>
      </c>
      <c r="F5" s="58">
        <f>D5+E5</f>
        <v>30</v>
      </c>
    </row>
  </sheetData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C3" sqref="C3"/>
    </sheetView>
  </sheetViews>
  <sheetFormatPr defaultColWidth="8.6640625" defaultRowHeight="15.75" x14ac:dyDescent="0.25"/>
  <cols>
    <col min="1" max="1" width="10.6640625" style="89" customWidth="1"/>
    <col min="2" max="2" width="8.6640625" style="59"/>
    <col min="3" max="3" width="14.88671875" style="60" bestFit="1" customWidth="1"/>
    <col min="4" max="4" width="8.6640625" style="59"/>
    <col min="7" max="16384" width="8.6640625" style="59"/>
  </cols>
  <sheetData>
    <row r="1" spans="1:3" s="54" customFormat="1" ht="15" x14ac:dyDescent="0.2">
      <c r="A1" s="86" t="s">
        <v>87</v>
      </c>
      <c r="B1" s="54" t="s">
        <v>63</v>
      </c>
      <c r="C1" s="55" t="s">
        <v>89</v>
      </c>
    </row>
    <row r="2" spans="1:3" x14ac:dyDescent="0.25">
      <c r="A2" s="87">
        <v>235000</v>
      </c>
      <c r="B2" s="88">
        <f>IF(A2&lt;Target,0,('Audit Services Score'!A2-Target)/Range)</f>
        <v>0</v>
      </c>
      <c r="C2" s="58">
        <f t="shared" ref="C2:C48" si="0">IF(B2=0,Maximum_Score,IF(A2&gt;UpperLimit,"",Maximum_Score-INT(Weighting*(LOG10((((A2-Target)/Range)*100))))))</f>
        <v>15</v>
      </c>
    </row>
    <row r="3" spans="1:3" x14ac:dyDescent="0.25">
      <c r="A3" s="87">
        <v>237500</v>
      </c>
      <c r="B3" s="88">
        <f>IF(A3&lt;Target,0,('Audit Services Score'!A3-Target)/Range)</f>
        <v>0</v>
      </c>
      <c r="C3" s="58">
        <f t="shared" si="0"/>
        <v>15</v>
      </c>
    </row>
    <row r="4" spans="1:3" x14ac:dyDescent="0.25">
      <c r="A4" s="87">
        <v>240000</v>
      </c>
      <c r="B4" s="88">
        <f>IF(A4&lt;Target,0,('Audit Services Score'!A4-Target)/Range)</f>
        <v>0</v>
      </c>
      <c r="C4" s="58">
        <f t="shared" si="0"/>
        <v>15</v>
      </c>
    </row>
    <row r="5" spans="1:3" x14ac:dyDescent="0.25">
      <c r="A5" s="87">
        <v>242500</v>
      </c>
      <c r="B5" s="88">
        <f>IF(A5&lt;Target,0,('Audit Services Score'!A5-Target)/Range)</f>
        <v>3.125E-2</v>
      </c>
      <c r="C5" s="58">
        <f t="shared" si="0"/>
        <v>12</v>
      </c>
    </row>
    <row r="6" spans="1:3" x14ac:dyDescent="0.25">
      <c r="A6" s="87">
        <v>245000</v>
      </c>
      <c r="B6" s="88">
        <f>IF(A6&lt;Target,0,('Audit Services Score'!A6-Target)/Range)</f>
        <v>6.25E-2</v>
      </c>
      <c r="C6" s="58">
        <f t="shared" si="0"/>
        <v>10</v>
      </c>
    </row>
    <row r="7" spans="1:3" x14ac:dyDescent="0.25">
      <c r="A7" s="87">
        <v>247500</v>
      </c>
      <c r="B7" s="88">
        <f>IF(A7&lt;Target,0,('Audit Services Score'!A7-Target)/Range)</f>
        <v>9.375E-2</v>
      </c>
      <c r="C7" s="58">
        <f t="shared" si="0"/>
        <v>8</v>
      </c>
    </row>
    <row r="8" spans="1:3" x14ac:dyDescent="0.25">
      <c r="A8" s="87">
        <v>250000</v>
      </c>
      <c r="B8" s="88">
        <f>IF(A8&lt;Target,0,('Audit Services Score'!A8-Target)/Range)</f>
        <v>0.125</v>
      </c>
      <c r="C8" s="58">
        <f t="shared" si="0"/>
        <v>7</v>
      </c>
    </row>
    <row r="9" spans="1:3" x14ac:dyDescent="0.25">
      <c r="A9" s="87">
        <v>252500</v>
      </c>
      <c r="B9" s="88">
        <f>IF(A9&lt;Target,0,('Audit Services Score'!A9-Target)/Range)</f>
        <v>0.15625</v>
      </c>
      <c r="C9" s="58">
        <f t="shared" si="0"/>
        <v>7</v>
      </c>
    </row>
    <row r="10" spans="1:3" x14ac:dyDescent="0.25">
      <c r="A10" s="87">
        <v>255000</v>
      </c>
      <c r="B10" s="88">
        <f>IF(A10&lt;Target,0,('Audit Services Score'!A10-Target)/Range)</f>
        <v>0.1875</v>
      </c>
      <c r="C10" s="58">
        <f t="shared" si="0"/>
        <v>6</v>
      </c>
    </row>
    <row r="11" spans="1:3" x14ac:dyDescent="0.25">
      <c r="A11" s="87">
        <v>257500</v>
      </c>
      <c r="B11" s="88">
        <f>IF(A11&lt;Target,0,('Audit Services Score'!A11-Target)/Range)</f>
        <v>0.21875</v>
      </c>
      <c r="C11" s="58">
        <f t="shared" si="0"/>
        <v>5</v>
      </c>
    </row>
    <row r="12" spans="1:3" x14ac:dyDescent="0.25">
      <c r="A12" s="87">
        <v>260000</v>
      </c>
      <c r="B12" s="88">
        <f>IF(A12&lt;Target,0,('Audit Services Score'!A12-Target)/Range)</f>
        <v>0.25</v>
      </c>
      <c r="C12" s="58">
        <f t="shared" si="0"/>
        <v>5</v>
      </c>
    </row>
    <row r="13" spans="1:3" x14ac:dyDescent="0.25">
      <c r="A13" s="87">
        <v>262500</v>
      </c>
      <c r="B13" s="88">
        <f>IF(A13&lt;Target,0,('Audit Services Score'!A13-Target)/Range)</f>
        <v>0.28125</v>
      </c>
      <c r="C13" s="58">
        <f t="shared" si="0"/>
        <v>5</v>
      </c>
    </row>
    <row r="14" spans="1:3" x14ac:dyDescent="0.25">
      <c r="A14" s="87">
        <v>265000</v>
      </c>
      <c r="B14" s="88">
        <f>IF(A14&lt;Target,0,('Audit Services Score'!A14-Target)/Range)</f>
        <v>0.3125</v>
      </c>
      <c r="C14" s="58">
        <f t="shared" si="0"/>
        <v>4</v>
      </c>
    </row>
    <row r="15" spans="1:3" x14ac:dyDescent="0.25">
      <c r="A15" s="87">
        <v>267500</v>
      </c>
      <c r="B15" s="88">
        <f>IF(A15&lt;Target,0,('Audit Services Score'!A15-Target)/Range)</f>
        <v>0.34375</v>
      </c>
      <c r="C15" s="58">
        <f t="shared" si="0"/>
        <v>4</v>
      </c>
    </row>
    <row r="16" spans="1:3" x14ac:dyDescent="0.25">
      <c r="A16" s="87">
        <v>270000</v>
      </c>
      <c r="B16" s="88">
        <f>IF(A16&lt;Target,0,('Audit Services Score'!A16-Target)/Range)</f>
        <v>0.375</v>
      </c>
      <c r="C16" s="58">
        <f t="shared" si="0"/>
        <v>4</v>
      </c>
    </row>
    <row r="17" spans="1:3" x14ac:dyDescent="0.25">
      <c r="A17" s="87">
        <v>272500</v>
      </c>
      <c r="B17" s="88">
        <f>IF(A17&lt;Target,0,('Audit Services Score'!A17-Target)/Range)</f>
        <v>0.40625</v>
      </c>
      <c r="C17" s="58">
        <f t="shared" si="0"/>
        <v>3</v>
      </c>
    </row>
    <row r="18" spans="1:3" x14ac:dyDescent="0.25">
      <c r="A18" s="87">
        <v>275000</v>
      </c>
      <c r="B18" s="88">
        <f>IF(A18&lt;Target,0,('Audit Services Score'!A18-Target)/Range)</f>
        <v>0.4375</v>
      </c>
      <c r="C18" s="58">
        <f t="shared" si="0"/>
        <v>3</v>
      </c>
    </row>
    <row r="19" spans="1:3" x14ac:dyDescent="0.25">
      <c r="A19" s="87">
        <v>277500</v>
      </c>
      <c r="B19" s="88">
        <f>IF(A19&lt;Target,0,('Audit Services Score'!A19-Target)/Range)</f>
        <v>0.46875</v>
      </c>
      <c r="C19" s="58">
        <f t="shared" si="0"/>
        <v>3</v>
      </c>
    </row>
    <row r="20" spans="1:3" x14ac:dyDescent="0.25">
      <c r="A20" s="87">
        <v>280000</v>
      </c>
      <c r="B20" s="88">
        <f>IF(A20&lt;Target,0,('Audit Services Score'!A20-Target)/Range)</f>
        <v>0.5</v>
      </c>
      <c r="C20" s="58">
        <f t="shared" si="0"/>
        <v>3</v>
      </c>
    </row>
    <row r="21" spans="1:3" x14ac:dyDescent="0.25">
      <c r="A21" s="87">
        <v>282500</v>
      </c>
      <c r="B21" s="88">
        <f>IF(A21&lt;Target,0,('Audit Services Score'!A21-Target)/Range)</f>
        <v>0.53125</v>
      </c>
      <c r="C21" s="58">
        <f t="shared" si="0"/>
        <v>3</v>
      </c>
    </row>
    <row r="22" spans="1:3" x14ac:dyDescent="0.25">
      <c r="A22" s="87">
        <v>285000</v>
      </c>
      <c r="B22" s="88">
        <f>IF(A22&lt;Target,0,('Audit Services Score'!A22-Target)/Range)</f>
        <v>0.5625</v>
      </c>
      <c r="C22" s="58">
        <f t="shared" si="0"/>
        <v>2</v>
      </c>
    </row>
    <row r="23" spans="1:3" x14ac:dyDescent="0.25">
      <c r="A23" s="87">
        <v>287500</v>
      </c>
      <c r="B23" s="88">
        <f>IF(A23&lt;Target,0,('Audit Services Score'!A23-Target)/Range)</f>
        <v>0.59375</v>
      </c>
      <c r="C23" s="58">
        <f t="shared" si="0"/>
        <v>2</v>
      </c>
    </row>
    <row r="24" spans="1:3" x14ac:dyDescent="0.25">
      <c r="A24" s="87">
        <v>290000</v>
      </c>
      <c r="B24" s="88">
        <f>IF(A24&lt;Target,0,('Audit Services Score'!A24-Target)/Range)</f>
        <v>0.625</v>
      </c>
      <c r="C24" s="58">
        <f t="shared" si="0"/>
        <v>2</v>
      </c>
    </row>
    <row r="25" spans="1:3" x14ac:dyDescent="0.25">
      <c r="A25" s="87">
        <v>292500</v>
      </c>
      <c r="B25" s="88">
        <f>IF(A25&lt;Target,0,('Audit Services Score'!A25-Target)/Range)</f>
        <v>0.65625</v>
      </c>
      <c r="C25" s="58">
        <f t="shared" si="0"/>
        <v>2</v>
      </c>
    </row>
    <row r="26" spans="1:3" x14ac:dyDescent="0.25">
      <c r="A26" s="87">
        <v>295000</v>
      </c>
      <c r="B26" s="88">
        <f>IF(A26&lt;Target,0,('Audit Services Score'!A26-Target)/Range)</f>
        <v>0.6875</v>
      </c>
      <c r="C26" s="58">
        <f t="shared" si="0"/>
        <v>2</v>
      </c>
    </row>
    <row r="27" spans="1:3" x14ac:dyDescent="0.25">
      <c r="A27" s="87">
        <v>297500</v>
      </c>
      <c r="B27" s="88">
        <f>IF(A27&lt;Target,0,('Audit Services Score'!A27-Target)/Range)</f>
        <v>0.71875</v>
      </c>
      <c r="C27" s="58">
        <f t="shared" si="0"/>
        <v>2</v>
      </c>
    </row>
    <row r="28" spans="1:3" x14ac:dyDescent="0.25">
      <c r="A28" s="87">
        <v>300000</v>
      </c>
      <c r="B28" s="88">
        <f>IF(A28&lt;Target,0,('Audit Services Score'!A28-Target)/Range)</f>
        <v>0.75</v>
      </c>
      <c r="C28" s="58">
        <f t="shared" si="0"/>
        <v>1</v>
      </c>
    </row>
    <row r="29" spans="1:3" x14ac:dyDescent="0.25">
      <c r="A29" s="87">
        <v>302500</v>
      </c>
      <c r="B29" s="88">
        <f>IF(A29&lt;Target,0,('Audit Services Score'!A29-Target)/Range)</f>
        <v>0.78125</v>
      </c>
      <c r="C29" s="58">
        <f t="shared" si="0"/>
        <v>1</v>
      </c>
    </row>
    <row r="30" spans="1:3" x14ac:dyDescent="0.25">
      <c r="A30" s="87">
        <v>305000</v>
      </c>
      <c r="B30" s="88">
        <f>IF(A30&lt;Target,0,('Audit Services Score'!A30-Target)/Range)</f>
        <v>0.8125</v>
      </c>
      <c r="C30" s="58">
        <f t="shared" si="0"/>
        <v>1</v>
      </c>
    </row>
    <row r="31" spans="1:3" x14ac:dyDescent="0.25">
      <c r="A31" s="87">
        <v>307500</v>
      </c>
      <c r="B31" s="88">
        <f>IF(A31&lt;Target,0,('Audit Services Score'!A31-Target)/Range)</f>
        <v>0.84375</v>
      </c>
      <c r="C31" s="58">
        <f t="shared" si="0"/>
        <v>1</v>
      </c>
    </row>
    <row r="32" spans="1:3" x14ac:dyDescent="0.25">
      <c r="A32" s="87">
        <v>310000</v>
      </c>
      <c r="B32" s="88">
        <f>IF(A32&lt;Target,0,('Audit Services Score'!A32-Target)/Range)</f>
        <v>0.875</v>
      </c>
      <c r="C32" s="58">
        <f t="shared" si="0"/>
        <v>1</v>
      </c>
    </row>
    <row r="33" spans="1:3" x14ac:dyDescent="0.25">
      <c r="A33" s="87">
        <v>312500</v>
      </c>
      <c r="B33" s="88">
        <f>IF(A33&lt;Target,0,('Audit Services Score'!A33-Target)/Range)</f>
        <v>0.90625</v>
      </c>
      <c r="C33" s="58">
        <f t="shared" si="0"/>
        <v>1</v>
      </c>
    </row>
    <row r="34" spans="1:3" x14ac:dyDescent="0.25">
      <c r="A34" s="87">
        <v>315000</v>
      </c>
      <c r="B34" s="88">
        <f>IF(A34&lt;Target,0,('Audit Services Score'!A34-Target)/Range)</f>
        <v>0.9375</v>
      </c>
      <c r="C34" s="58">
        <f t="shared" si="0"/>
        <v>1</v>
      </c>
    </row>
    <row r="35" spans="1:3" x14ac:dyDescent="0.25">
      <c r="A35" s="87">
        <v>317500</v>
      </c>
      <c r="B35" s="88">
        <f>IF(A35&lt;Target,0,('Audit Services Score'!A35-Target)/Range)</f>
        <v>0.96875</v>
      </c>
      <c r="C35" s="58">
        <f t="shared" si="0"/>
        <v>1</v>
      </c>
    </row>
    <row r="36" spans="1:3" x14ac:dyDescent="0.25">
      <c r="A36" s="87">
        <v>320000</v>
      </c>
      <c r="B36" s="88">
        <f>IF(A36&lt;Target,0,('Audit Services Score'!A36-Target)/Range)</f>
        <v>1</v>
      </c>
      <c r="C36" s="58">
        <f t="shared" si="0"/>
        <v>0</v>
      </c>
    </row>
    <row r="37" spans="1:3" x14ac:dyDescent="0.25">
      <c r="A37" s="87">
        <v>322500</v>
      </c>
      <c r="B37" s="88">
        <f>IF(A37&lt;Target,0,('Audit Services Score'!A37-Target)/Range)</f>
        <v>1.03125</v>
      </c>
      <c r="C37" s="58" t="str">
        <f t="shared" si="0"/>
        <v/>
      </c>
    </row>
    <row r="38" spans="1:3" x14ac:dyDescent="0.25">
      <c r="A38" s="87">
        <v>325000</v>
      </c>
      <c r="B38" s="88">
        <f>IF(A38&lt;Target,0,('Audit Services Score'!A38-Target)/Range)</f>
        <v>1.0625</v>
      </c>
      <c r="C38" s="58" t="str">
        <f t="shared" si="0"/>
        <v/>
      </c>
    </row>
    <row r="39" spans="1:3" x14ac:dyDescent="0.25">
      <c r="A39" s="87">
        <v>327500</v>
      </c>
      <c r="B39" s="88">
        <f>IF(A39&lt;Target,0,('Audit Services Score'!A39-Target)/Range)</f>
        <v>1.09375</v>
      </c>
      <c r="C39" s="58" t="str">
        <f t="shared" si="0"/>
        <v/>
      </c>
    </row>
    <row r="40" spans="1:3" x14ac:dyDescent="0.25">
      <c r="A40" s="87">
        <v>330000</v>
      </c>
      <c r="B40" s="88">
        <f>IF(A40&lt;Target,0,('Audit Services Score'!A40-Target)/Range)</f>
        <v>1.125</v>
      </c>
      <c r="C40" s="58" t="str">
        <f t="shared" si="0"/>
        <v/>
      </c>
    </row>
    <row r="41" spans="1:3" x14ac:dyDescent="0.25">
      <c r="A41" s="87">
        <v>332500</v>
      </c>
      <c r="B41" s="88">
        <f>IF(A41&lt;Target,0,('Audit Services Score'!A41-Target)/Range)</f>
        <v>1.15625</v>
      </c>
      <c r="C41" s="58" t="str">
        <f t="shared" si="0"/>
        <v/>
      </c>
    </row>
    <row r="42" spans="1:3" x14ac:dyDescent="0.25">
      <c r="A42" s="87">
        <v>335000</v>
      </c>
      <c r="B42" s="88">
        <f>IF(A42&lt;Target,0,('Audit Services Score'!A42-Target)/Range)</f>
        <v>1.1875</v>
      </c>
      <c r="C42" s="58" t="str">
        <f t="shared" si="0"/>
        <v/>
      </c>
    </row>
    <row r="43" spans="1:3" x14ac:dyDescent="0.25">
      <c r="A43" s="87">
        <v>337500</v>
      </c>
      <c r="B43" s="88">
        <f>IF(A43&lt;Target,0,('Audit Services Score'!A43-Target)/Range)</f>
        <v>1.21875</v>
      </c>
      <c r="C43" s="58" t="str">
        <f t="shared" si="0"/>
        <v/>
      </c>
    </row>
    <row r="44" spans="1:3" x14ac:dyDescent="0.25">
      <c r="A44" s="87">
        <v>340000</v>
      </c>
      <c r="B44" s="88">
        <f>IF(A44&lt;Target,0,('Audit Services Score'!A44-Target)/Range)</f>
        <v>1.25</v>
      </c>
      <c r="C44" s="58" t="str">
        <f t="shared" si="0"/>
        <v/>
      </c>
    </row>
    <row r="45" spans="1:3" x14ac:dyDescent="0.25">
      <c r="A45" s="87">
        <v>342500</v>
      </c>
      <c r="B45" s="88">
        <f>IF(A45&lt;Target,0,('Audit Services Score'!A45-Target)/Range)</f>
        <v>1.28125</v>
      </c>
      <c r="C45" s="58" t="str">
        <f t="shared" si="0"/>
        <v/>
      </c>
    </row>
    <row r="46" spans="1:3" x14ac:dyDescent="0.25">
      <c r="A46" s="87">
        <v>345000</v>
      </c>
      <c r="B46" s="88">
        <f>IF(A46&lt;Target,0,('Audit Services Score'!A46-Target)/Range)</f>
        <v>1.3125</v>
      </c>
      <c r="C46" s="58" t="str">
        <f t="shared" si="0"/>
        <v/>
      </c>
    </row>
    <row r="47" spans="1:3" x14ac:dyDescent="0.25">
      <c r="A47" s="87">
        <v>347500</v>
      </c>
      <c r="B47" s="88">
        <f>IF(A47&lt;Target,0,('Audit Services Score'!A47-Target)/Range)</f>
        <v>1.34375</v>
      </c>
      <c r="C47" s="58" t="str">
        <f t="shared" si="0"/>
        <v/>
      </c>
    </row>
    <row r="48" spans="1:3" x14ac:dyDescent="0.25">
      <c r="A48" s="87">
        <v>350000</v>
      </c>
      <c r="B48" s="88">
        <f>IF(A48&lt;Target,0,('Audit Services Score'!A48-Target)/Range)</f>
        <v>1.375</v>
      </c>
      <c r="C48" s="58" t="str">
        <f t="shared" si="0"/>
        <v/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opLeftCell="A18" workbookViewId="0">
      <selection activeCell="C2" sqref="C2"/>
    </sheetView>
  </sheetViews>
  <sheetFormatPr defaultColWidth="8.6640625" defaultRowHeight="15.75" x14ac:dyDescent="0.25"/>
  <cols>
    <col min="1" max="1" width="10.6640625" style="89" customWidth="1"/>
    <col min="2" max="2" width="9.33203125" style="59" bestFit="1" customWidth="1"/>
    <col min="3" max="3" width="14.88671875" style="60" bestFit="1" customWidth="1"/>
    <col min="4" max="4" width="8.6640625" style="59"/>
    <col min="7" max="16384" width="8.6640625" style="59"/>
  </cols>
  <sheetData>
    <row r="1" spans="1:3" s="54" customFormat="1" ht="15" x14ac:dyDescent="0.2">
      <c r="A1" s="86" t="s">
        <v>87</v>
      </c>
      <c r="B1" s="54" t="s">
        <v>98</v>
      </c>
      <c r="C1" s="55" t="s">
        <v>96</v>
      </c>
    </row>
    <row r="2" spans="1:3" x14ac:dyDescent="0.25">
      <c r="A2" s="87">
        <v>0</v>
      </c>
      <c r="B2" s="88">
        <f t="shared" ref="B2:B33" si="0">IF(A2&gt;Target,0,((Target-A2)/Target))</f>
        <v>1</v>
      </c>
      <c r="C2" s="58">
        <f t="shared" ref="C2:C33" si="1">IF(A2=Target,0,IF(A2&gt;Target,"",INT(Weighting*(LOG10(((Target-A2)/Target)*100)))))</f>
        <v>15</v>
      </c>
    </row>
    <row r="3" spans="1:3" x14ac:dyDescent="0.25">
      <c r="A3" s="87">
        <v>5000</v>
      </c>
      <c r="B3" s="88">
        <f t="shared" si="0"/>
        <v>0.97916666666666663</v>
      </c>
      <c r="C3" s="58">
        <f t="shared" si="1"/>
        <v>14</v>
      </c>
    </row>
    <row r="4" spans="1:3" x14ac:dyDescent="0.25">
      <c r="A4" s="87">
        <v>10000</v>
      </c>
      <c r="B4" s="88">
        <f t="shared" si="0"/>
        <v>0.95833333333333337</v>
      </c>
      <c r="C4" s="58">
        <f t="shared" si="1"/>
        <v>14</v>
      </c>
    </row>
    <row r="5" spans="1:3" x14ac:dyDescent="0.25">
      <c r="A5" s="87">
        <v>15000</v>
      </c>
      <c r="B5" s="88">
        <f t="shared" si="0"/>
        <v>0.9375</v>
      </c>
      <c r="C5" s="58">
        <f t="shared" si="1"/>
        <v>14</v>
      </c>
    </row>
    <row r="6" spans="1:3" x14ac:dyDescent="0.25">
      <c r="A6" s="87">
        <v>20000</v>
      </c>
      <c r="B6" s="88">
        <f t="shared" si="0"/>
        <v>0.91666666666666663</v>
      </c>
      <c r="C6" s="58">
        <f t="shared" si="1"/>
        <v>14</v>
      </c>
    </row>
    <row r="7" spans="1:3" x14ac:dyDescent="0.25">
      <c r="A7" s="87">
        <v>25000</v>
      </c>
      <c r="B7" s="88">
        <f t="shared" si="0"/>
        <v>0.89583333333333337</v>
      </c>
      <c r="C7" s="58">
        <f t="shared" si="1"/>
        <v>14</v>
      </c>
    </row>
    <row r="8" spans="1:3" x14ac:dyDescent="0.25">
      <c r="A8" s="87">
        <v>30000</v>
      </c>
      <c r="B8" s="88">
        <f t="shared" si="0"/>
        <v>0.875</v>
      </c>
      <c r="C8" s="58">
        <f t="shared" si="1"/>
        <v>14</v>
      </c>
    </row>
    <row r="9" spans="1:3" x14ac:dyDescent="0.25">
      <c r="A9" s="87">
        <v>35000</v>
      </c>
      <c r="B9" s="88">
        <f t="shared" si="0"/>
        <v>0.85416666666666663</v>
      </c>
      <c r="C9" s="58">
        <f t="shared" si="1"/>
        <v>14</v>
      </c>
    </row>
    <row r="10" spans="1:3" x14ac:dyDescent="0.25">
      <c r="A10" s="87">
        <v>40000</v>
      </c>
      <c r="B10" s="88">
        <f t="shared" si="0"/>
        <v>0.83333333333333337</v>
      </c>
      <c r="C10" s="58">
        <f t="shared" si="1"/>
        <v>14</v>
      </c>
    </row>
    <row r="11" spans="1:3" x14ac:dyDescent="0.25">
      <c r="A11" s="87">
        <v>45000</v>
      </c>
      <c r="B11" s="88">
        <f t="shared" si="0"/>
        <v>0.8125</v>
      </c>
      <c r="C11" s="58">
        <f t="shared" si="1"/>
        <v>14</v>
      </c>
    </row>
    <row r="12" spans="1:3" x14ac:dyDescent="0.25">
      <c r="A12" s="87">
        <v>50000</v>
      </c>
      <c r="B12" s="88">
        <f t="shared" si="0"/>
        <v>0.79166666666666663</v>
      </c>
      <c r="C12" s="58">
        <f t="shared" si="1"/>
        <v>14</v>
      </c>
    </row>
    <row r="13" spans="1:3" x14ac:dyDescent="0.25">
      <c r="A13" s="87">
        <v>55000</v>
      </c>
      <c r="B13" s="88">
        <f t="shared" si="0"/>
        <v>0.77083333333333337</v>
      </c>
      <c r="C13" s="58">
        <f t="shared" si="1"/>
        <v>14</v>
      </c>
    </row>
    <row r="14" spans="1:3" x14ac:dyDescent="0.25">
      <c r="A14" s="87">
        <v>60000</v>
      </c>
      <c r="B14" s="88">
        <f t="shared" si="0"/>
        <v>0.75</v>
      </c>
      <c r="C14" s="58">
        <f t="shared" si="1"/>
        <v>14</v>
      </c>
    </row>
    <row r="15" spans="1:3" x14ac:dyDescent="0.25">
      <c r="A15" s="87">
        <v>65000</v>
      </c>
      <c r="B15" s="88">
        <f t="shared" si="0"/>
        <v>0.72916666666666663</v>
      </c>
      <c r="C15" s="58">
        <f t="shared" si="1"/>
        <v>13</v>
      </c>
    </row>
    <row r="16" spans="1:3" x14ac:dyDescent="0.25">
      <c r="A16" s="87">
        <v>70000</v>
      </c>
      <c r="B16" s="88">
        <f t="shared" si="0"/>
        <v>0.70833333333333337</v>
      </c>
      <c r="C16" s="58">
        <f t="shared" si="1"/>
        <v>13</v>
      </c>
    </row>
    <row r="17" spans="1:3" x14ac:dyDescent="0.25">
      <c r="A17" s="87">
        <v>75000</v>
      </c>
      <c r="B17" s="88">
        <f t="shared" si="0"/>
        <v>0.6875</v>
      </c>
      <c r="C17" s="58">
        <f t="shared" si="1"/>
        <v>13</v>
      </c>
    </row>
    <row r="18" spans="1:3" x14ac:dyDescent="0.25">
      <c r="A18" s="87">
        <v>80000</v>
      </c>
      <c r="B18" s="88">
        <f t="shared" si="0"/>
        <v>0.66666666666666663</v>
      </c>
      <c r="C18" s="58">
        <f t="shared" si="1"/>
        <v>13</v>
      </c>
    </row>
    <row r="19" spans="1:3" x14ac:dyDescent="0.25">
      <c r="A19" s="87">
        <v>85000</v>
      </c>
      <c r="B19" s="88">
        <f t="shared" si="0"/>
        <v>0.64583333333333337</v>
      </c>
      <c r="C19" s="58">
        <f t="shared" si="1"/>
        <v>13</v>
      </c>
    </row>
    <row r="20" spans="1:3" x14ac:dyDescent="0.25">
      <c r="A20" s="87">
        <v>90000</v>
      </c>
      <c r="B20" s="88">
        <f t="shared" si="0"/>
        <v>0.625</v>
      </c>
      <c r="C20" s="58">
        <f t="shared" si="1"/>
        <v>13</v>
      </c>
    </row>
    <row r="21" spans="1:3" x14ac:dyDescent="0.25">
      <c r="A21" s="87">
        <v>95000</v>
      </c>
      <c r="B21" s="88">
        <f t="shared" si="0"/>
        <v>0.60416666666666663</v>
      </c>
      <c r="C21" s="58">
        <f t="shared" si="1"/>
        <v>13</v>
      </c>
    </row>
    <row r="22" spans="1:3" x14ac:dyDescent="0.25">
      <c r="A22" s="87">
        <v>100000</v>
      </c>
      <c r="B22" s="88">
        <f t="shared" si="0"/>
        <v>0.58333333333333337</v>
      </c>
      <c r="C22" s="58">
        <f t="shared" si="1"/>
        <v>13</v>
      </c>
    </row>
    <row r="23" spans="1:3" x14ac:dyDescent="0.25">
      <c r="A23" s="87">
        <v>105000</v>
      </c>
      <c r="B23" s="88">
        <f t="shared" si="0"/>
        <v>0.5625</v>
      </c>
      <c r="C23" s="58">
        <f t="shared" si="1"/>
        <v>13</v>
      </c>
    </row>
    <row r="24" spans="1:3" x14ac:dyDescent="0.25">
      <c r="A24" s="87">
        <v>110000</v>
      </c>
      <c r="B24" s="88">
        <f t="shared" si="0"/>
        <v>0.54166666666666663</v>
      </c>
      <c r="C24" s="58">
        <f t="shared" si="1"/>
        <v>13</v>
      </c>
    </row>
    <row r="25" spans="1:3" x14ac:dyDescent="0.25">
      <c r="A25" s="87">
        <v>115000</v>
      </c>
      <c r="B25" s="88">
        <f t="shared" si="0"/>
        <v>0.52083333333333337</v>
      </c>
      <c r="C25" s="58">
        <f t="shared" si="1"/>
        <v>12</v>
      </c>
    </row>
    <row r="26" spans="1:3" x14ac:dyDescent="0.25">
      <c r="A26" s="87">
        <v>120000</v>
      </c>
      <c r="B26" s="88">
        <f t="shared" si="0"/>
        <v>0.5</v>
      </c>
      <c r="C26" s="58">
        <f t="shared" si="1"/>
        <v>12</v>
      </c>
    </row>
    <row r="27" spans="1:3" x14ac:dyDescent="0.25">
      <c r="A27" s="87">
        <v>125000</v>
      </c>
      <c r="B27" s="88">
        <f t="shared" si="0"/>
        <v>0.47916666666666669</v>
      </c>
      <c r="C27" s="58">
        <f t="shared" si="1"/>
        <v>12</v>
      </c>
    </row>
    <row r="28" spans="1:3" x14ac:dyDescent="0.25">
      <c r="A28" s="87">
        <v>130000</v>
      </c>
      <c r="B28" s="88">
        <f t="shared" si="0"/>
        <v>0.45833333333333331</v>
      </c>
      <c r="C28" s="58">
        <f t="shared" si="1"/>
        <v>12</v>
      </c>
    </row>
    <row r="29" spans="1:3" x14ac:dyDescent="0.25">
      <c r="A29" s="87">
        <v>135000</v>
      </c>
      <c r="B29" s="88">
        <f t="shared" si="0"/>
        <v>0.4375</v>
      </c>
      <c r="C29" s="58">
        <f t="shared" si="1"/>
        <v>12</v>
      </c>
    </row>
    <row r="30" spans="1:3" x14ac:dyDescent="0.25">
      <c r="A30" s="87">
        <v>140000</v>
      </c>
      <c r="B30" s="88">
        <f t="shared" si="0"/>
        <v>0.41666666666666669</v>
      </c>
      <c r="C30" s="58">
        <f t="shared" si="1"/>
        <v>12</v>
      </c>
    </row>
    <row r="31" spans="1:3" x14ac:dyDescent="0.25">
      <c r="A31" s="87">
        <v>145000</v>
      </c>
      <c r="B31" s="88">
        <f t="shared" si="0"/>
        <v>0.39583333333333331</v>
      </c>
      <c r="C31" s="58">
        <f t="shared" si="1"/>
        <v>11</v>
      </c>
    </row>
    <row r="32" spans="1:3" x14ac:dyDescent="0.25">
      <c r="A32" s="87">
        <v>150000</v>
      </c>
      <c r="B32" s="88">
        <f t="shared" si="0"/>
        <v>0.375</v>
      </c>
      <c r="C32" s="58">
        <f t="shared" si="1"/>
        <v>11</v>
      </c>
    </row>
    <row r="33" spans="1:3" x14ac:dyDescent="0.25">
      <c r="A33" s="87">
        <v>155000</v>
      </c>
      <c r="B33" s="88">
        <f t="shared" si="0"/>
        <v>0.35416666666666669</v>
      </c>
      <c r="C33" s="58">
        <f t="shared" si="1"/>
        <v>11</v>
      </c>
    </row>
    <row r="34" spans="1:3" x14ac:dyDescent="0.25">
      <c r="A34" s="87">
        <v>160000</v>
      </c>
      <c r="B34" s="88">
        <f t="shared" ref="B34:B65" si="2">IF(A34&gt;Target,0,((Target-A34)/Target))</f>
        <v>0.33333333333333331</v>
      </c>
      <c r="C34" s="58">
        <f t="shared" ref="C34:C65" si="3">IF(A34=Target,0,IF(A34&gt;Target,"",INT(Weighting*(LOG10(((Target-A34)/Target)*100)))))</f>
        <v>11</v>
      </c>
    </row>
    <row r="35" spans="1:3" x14ac:dyDescent="0.25">
      <c r="A35" s="87">
        <v>165000</v>
      </c>
      <c r="B35" s="88">
        <f t="shared" si="2"/>
        <v>0.3125</v>
      </c>
      <c r="C35" s="58">
        <f t="shared" si="3"/>
        <v>11</v>
      </c>
    </row>
    <row r="36" spans="1:3" x14ac:dyDescent="0.25">
      <c r="A36" s="87">
        <v>170000</v>
      </c>
      <c r="B36" s="88">
        <f t="shared" si="2"/>
        <v>0.29166666666666669</v>
      </c>
      <c r="C36" s="58">
        <f t="shared" si="3"/>
        <v>10</v>
      </c>
    </row>
    <row r="37" spans="1:3" x14ac:dyDescent="0.25">
      <c r="A37" s="87">
        <v>175000</v>
      </c>
      <c r="B37" s="88">
        <f t="shared" si="2"/>
        <v>0.27083333333333331</v>
      </c>
      <c r="C37" s="58">
        <f t="shared" si="3"/>
        <v>10</v>
      </c>
    </row>
    <row r="38" spans="1:3" x14ac:dyDescent="0.25">
      <c r="A38" s="87">
        <v>180000</v>
      </c>
      <c r="B38" s="88">
        <f t="shared" si="2"/>
        <v>0.25</v>
      </c>
      <c r="C38" s="58">
        <f t="shared" si="3"/>
        <v>10</v>
      </c>
    </row>
    <row r="39" spans="1:3" x14ac:dyDescent="0.25">
      <c r="A39" s="87">
        <v>185000</v>
      </c>
      <c r="B39" s="88">
        <f t="shared" si="2"/>
        <v>0.22916666666666666</v>
      </c>
      <c r="C39" s="58">
        <f t="shared" si="3"/>
        <v>10</v>
      </c>
    </row>
    <row r="40" spans="1:3" x14ac:dyDescent="0.25">
      <c r="A40" s="87">
        <v>190000</v>
      </c>
      <c r="B40" s="88">
        <f t="shared" si="2"/>
        <v>0.20833333333333334</v>
      </c>
      <c r="C40" s="58">
        <f t="shared" si="3"/>
        <v>9</v>
      </c>
    </row>
    <row r="41" spans="1:3" x14ac:dyDescent="0.25">
      <c r="A41" s="87">
        <v>195000</v>
      </c>
      <c r="B41" s="88">
        <f t="shared" si="2"/>
        <v>0.1875</v>
      </c>
      <c r="C41" s="58">
        <f t="shared" si="3"/>
        <v>9</v>
      </c>
    </row>
    <row r="42" spans="1:3" x14ac:dyDescent="0.25">
      <c r="A42" s="87">
        <v>200000</v>
      </c>
      <c r="B42" s="88">
        <f t="shared" si="2"/>
        <v>0.16666666666666666</v>
      </c>
      <c r="C42" s="58">
        <f t="shared" si="3"/>
        <v>9</v>
      </c>
    </row>
    <row r="43" spans="1:3" x14ac:dyDescent="0.25">
      <c r="A43" s="87">
        <v>205000</v>
      </c>
      <c r="B43" s="88">
        <f t="shared" si="2"/>
        <v>0.14583333333333334</v>
      </c>
      <c r="C43" s="58">
        <f t="shared" si="3"/>
        <v>8</v>
      </c>
    </row>
    <row r="44" spans="1:3" x14ac:dyDescent="0.25">
      <c r="A44" s="87">
        <v>210000</v>
      </c>
      <c r="B44" s="88">
        <f t="shared" si="2"/>
        <v>0.125</v>
      </c>
      <c r="C44" s="58">
        <f t="shared" si="3"/>
        <v>8</v>
      </c>
    </row>
    <row r="45" spans="1:3" x14ac:dyDescent="0.25">
      <c r="A45" s="87">
        <v>215000</v>
      </c>
      <c r="B45" s="88">
        <f t="shared" si="2"/>
        <v>0.10416666666666667</v>
      </c>
      <c r="C45" s="58">
        <f t="shared" si="3"/>
        <v>7</v>
      </c>
    </row>
    <row r="46" spans="1:3" x14ac:dyDescent="0.25">
      <c r="A46" s="87">
        <v>220000</v>
      </c>
      <c r="B46" s="88">
        <f t="shared" si="2"/>
        <v>8.3333333333333329E-2</v>
      </c>
      <c r="C46" s="58">
        <f t="shared" si="3"/>
        <v>6</v>
      </c>
    </row>
    <row r="47" spans="1:3" x14ac:dyDescent="0.25">
      <c r="A47" s="87">
        <v>225000</v>
      </c>
      <c r="B47" s="88">
        <f t="shared" si="2"/>
        <v>6.25E-2</v>
      </c>
      <c r="C47" s="58">
        <f t="shared" si="3"/>
        <v>5</v>
      </c>
    </row>
    <row r="48" spans="1:3" x14ac:dyDescent="0.25">
      <c r="A48" s="87">
        <v>230000</v>
      </c>
      <c r="B48" s="88">
        <f t="shared" si="2"/>
        <v>4.1666666666666664E-2</v>
      </c>
      <c r="C48" s="58">
        <f t="shared" si="3"/>
        <v>4</v>
      </c>
    </row>
    <row r="49" spans="1:3" x14ac:dyDescent="0.25">
      <c r="A49" s="87">
        <v>235000</v>
      </c>
      <c r="B49" s="88">
        <f t="shared" si="2"/>
        <v>2.0833333333333332E-2</v>
      </c>
      <c r="C49" s="58">
        <f t="shared" si="3"/>
        <v>2</v>
      </c>
    </row>
    <row r="50" spans="1:3" x14ac:dyDescent="0.25">
      <c r="A50" s="87">
        <v>240000</v>
      </c>
      <c r="B50" s="88">
        <f t="shared" si="2"/>
        <v>0</v>
      </c>
      <c r="C50" s="58">
        <f t="shared" si="3"/>
        <v>0</v>
      </c>
    </row>
    <row r="51" spans="1:3" x14ac:dyDescent="0.25">
      <c r="A51" s="87">
        <v>245000</v>
      </c>
      <c r="B51" s="88">
        <f t="shared" si="2"/>
        <v>0</v>
      </c>
      <c r="C51" s="58" t="str">
        <f t="shared" si="3"/>
        <v/>
      </c>
    </row>
    <row r="52" spans="1:3" x14ac:dyDescent="0.25">
      <c r="A52" s="87">
        <v>250000</v>
      </c>
      <c r="B52" s="88">
        <f t="shared" si="2"/>
        <v>0</v>
      </c>
      <c r="C52" s="58" t="str">
        <f t="shared" si="3"/>
        <v/>
      </c>
    </row>
    <row r="53" spans="1:3" x14ac:dyDescent="0.25">
      <c r="A53" s="87">
        <v>255000</v>
      </c>
      <c r="B53" s="88">
        <f t="shared" si="2"/>
        <v>0</v>
      </c>
      <c r="C53" s="58" t="str">
        <f t="shared" si="3"/>
        <v/>
      </c>
    </row>
    <row r="54" spans="1:3" x14ac:dyDescent="0.25">
      <c r="A54" s="87">
        <v>260000</v>
      </c>
      <c r="B54" s="88">
        <f t="shared" si="2"/>
        <v>0</v>
      </c>
      <c r="C54" s="58" t="str">
        <f t="shared" si="3"/>
        <v/>
      </c>
    </row>
    <row r="55" spans="1:3" x14ac:dyDescent="0.25">
      <c r="A55" s="87">
        <v>265000</v>
      </c>
      <c r="B55" s="88">
        <f t="shared" si="2"/>
        <v>0</v>
      </c>
      <c r="C55" s="58" t="str">
        <f t="shared" si="3"/>
        <v/>
      </c>
    </row>
    <row r="56" spans="1:3" x14ac:dyDescent="0.25">
      <c r="A56" s="87">
        <v>270000</v>
      </c>
      <c r="B56" s="88">
        <f t="shared" si="2"/>
        <v>0</v>
      </c>
      <c r="C56" s="58" t="str">
        <f t="shared" si="3"/>
        <v/>
      </c>
    </row>
    <row r="57" spans="1:3" x14ac:dyDescent="0.25">
      <c r="A57" s="87">
        <v>275000</v>
      </c>
      <c r="B57" s="88">
        <f t="shared" si="2"/>
        <v>0</v>
      </c>
      <c r="C57" s="58" t="str">
        <f t="shared" si="3"/>
        <v/>
      </c>
    </row>
    <row r="58" spans="1:3" x14ac:dyDescent="0.25">
      <c r="A58" s="87">
        <v>280000</v>
      </c>
      <c r="B58" s="88">
        <f t="shared" si="2"/>
        <v>0</v>
      </c>
      <c r="C58" s="58" t="str">
        <f t="shared" si="3"/>
        <v/>
      </c>
    </row>
    <row r="59" spans="1:3" x14ac:dyDescent="0.25">
      <c r="A59" s="87">
        <v>285000</v>
      </c>
      <c r="B59" s="88">
        <f t="shared" si="2"/>
        <v>0</v>
      </c>
      <c r="C59" s="58" t="str">
        <f t="shared" si="3"/>
        <v/>
      </c>
    </row>
    <row r="60" spans="1:3" x14ac:dyDescent="0.25">
      <c r="A60" s="87">
        <v>290000</v>
      </c>
      <c r="B60" s="88">
        <f t="shared" si="2"/>
        <v>0</v>
      </c>
      <c r="C60" s="58" t="str">
        <f t="shared" si="3"/>
        <v/>
      </c>
    </row>
    <row r="61" spans="1:3" x14ac:dyDescent="0.25">
      <c r="A61" s="87">
        <v>295000</v>
      </c>
      <c r="B61" s="88">
        <f t="shared" si="2"/>
        <v>0</v>
      </c>
      <c r="C61" s="58" t="str">
        <f t="shared" si="3"/>
        <v/>
      </c>
    </row>
    <row r="62" spans="1:3" x14ac:dyDescent="0.25">
      <c r="A62" s="87">
        <v>300000</v>
      </c>
      <c r="B62" s="88">
        <f t="shared" si="2"/>
        <v>0</v>
      </c>
      <c r="C62" s="58" t="str">
        <f t="shared" si="3"/>
        <v/>
      </c>
    </row>
    <row r="63" spans="1:3" x14ac:dyDescent="0.25">
      <c r="A63" s="87">
        <v>305000</v>
      </c>
      <c r="B63" s="88">
        <f t="shared" si="2"/>
        <v>0</v>
      </c>
      <c r="C63" s="58" t="str">
        <f t="shared" si="3"/>
        <v/>
      </c>
    </row>
    <row r="64" spans="1:3" x14ac:dyDescent="0.25">
      <c r="A64" s="87">
        <v>310000</v>
      </c>
      <c r="B64" s="88">
        <f t="shared" si="2"/>
        <v>0</v>
      </c>
      <c r="C64" s="58" t="str">
        <f t="shared" si="3"/>
        <v/>
      </c>
    </row>
    <row r="65" spans="1:3" x14ac:dyDescent="0.25">
      <c r="A65" s="87">
        <v>315000</v>
      </c>
      <c r="B65" s="88">
        <f t="shared" si="2"/>
        <v>0</v>
      </c>
      <c r="C65" s="58" t="str">
        <f t="shared" si="3"/>
        <v/>
      </c>
    </row>
    <row r="66" spans="1:3" x14ac:dyDescent="0.25">
      <c r="A66" s="87">
        <v>320000</v>
      </c>
      <c r="B66" s="88">
        <f t="shared" ref="B66:B97" si="4">IF(A66&gt;Target,0,((Target-A66)/Target))</f>
        <v>0</v>
      </c>
      <c r="C66" s="58" t="str">
        <f t="shared" ref="C66:C72" si="5">IF(A66=Target,0,IF(A66&gt;Target,"",INT(Weighting*(LOG10(((Target-A66)/Target)*100)))))</f>
        <v/>
      </c>
    </row>
    <row r="67" spans="1:3" x14ac:dyDescent="0.25">
      <c r="A67" s="87">
        <v>325000</v>
      </c>
      <c r="B67" s="88">
        <f t="shared" si="4"/>
        <v>0</v>
      </c>
      <c r="C67" s="58" t="str">
        <f t="shared" si="5"/>
        <v/>
      </c>
    </row>
    <row r="68" spans="1:3" x14ac:dyDescent="0.25">
      <c r="A68" s="87">
        <v>330000</v>
      </c>
      <c r="B68" s="88">
        <f t="shared" si="4"/>
        <v>0</v>
      </c>
      <c r="C68" s="58" t="str">
        <f t="shared" si="5"/>
        <v/>
      </c>
    </row>
    <row r="69" spans="1:3" x14ac:dyDescent="0.25">
      <c r="A69" s="87">
        <v>335000</v>
      </c>
      <c r="B69" s="88">
        <f t="shared" si="4"/>
        <v>0</v>
      </c>
      <c r="C69" s="58" t="str">
        <f t="shared" si="5"/>
        <v/>
      </c>
    </row>
    <row r="70" spans="1:3" x14ac:dyDescent="0.25">
      <c r="A70" s="87">
        <v>340000</v>
      </c>
      <c r="B70" s="88">
        <f t="shared" si="4"/>
        <v>0</v>
      </c>
      <c r="C70" s="58" t="str">
        <f t="shared" si="5"/>
        <v/>
      </c>
    </row>
    <row r="71" spans="1:3" x14ac:dyDescent="0.25">
      <c r="A71" s="87">
        <v>345000</v>
      </c>
      <c r="B71" s="88">
        <f t="shared" si="4"/>
        <v>0</v>
      </c>
      <c r="C71" s="58" t="str">
        <f t="shared" si="5"/>
        <v/>
      </c>
    </row>
    <row r="72" spans="1:3" x14ac:dyDescent="0.25">
      <c r="A72" s="87">
        <v>350000</v>
      </c>
      <c r="B72" s="88">
        <f t="shared" si="4"/>
        <v>0</v>
      </c>
      <c r="C72" s="58" t="str">
        <f t="shared" si="5"/>
        <v/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A8" sqref="A8:XFD8"/>
    </sheetView>
  </sheetViews>
  <sheetFormatPr defaultColWidth="8.6640625" defaultRowHeight="15" x14ac:dyDescent="0.25"/>
  <cols>
    <col min="1" max="1" width="13.33203125" style="59" bestFit="1" customWidth="1"/>
    <col min="2" max="2" width="9.6640625" style="59" customWidth="1"/>
    <col min="3" max="3" width="47.44140625" style="59" customWidth="1"/>
    <col min="4" max="16384" width="8.6640625" style="59"/>
  </cols>
  <sheetData>
    <row r="1" spans="1:3" ht="18.75" x14ac:dyDescent="0.3">
      <c r="A1" s="78" t="s">
        <v>88</v>
      </c>
    </row>
    <row r="3" spans="1:3" x14ac:dyDescent="0.25">
      <c r="A3" s="59" t="s">
        <v>73</v>
      </c>
      <c r="B3" s="59">
        <v>7.5</v>
      </c>
    </row>
    <row r="4" spans="1:3" x14ac:dyDescent="0.25">
      <c r="A4" s="59" t="s">
        <v>74</v>
      </c>
      <c r="B4" s="79">
        <v>240000</v>
      </c>
    </row>
    <row r="5" spans="1:3" x14ac:dyDescent="0.25">
      <c r="A5" s="59" t="s">
        <v>75</v>
      </c>
      <c r="B5" s="79">
        <v>320000</v>
      </c>
    </row>
    <row r="6" spans="1:3" x14ac:dyDescent="0.25">
      <c r="A6" s="59" t="s">
        <v>76</v>
      </c>
      <c r="B6" s="79">
        <f>UpperLimit-Target</f>
        <v>80000</v>
      </c>
    </row>
    <row r="7" spans="1:3" x14ac:dyDescent="0.25">
      <c r="A7" s="59" t="s">
        <v>97</v>
      </c>
      <c r="B7" s="79">
        <f>MIN('Savings Score'!A2:A48)</f>
        <v>0</v>
      </c>
    </row>
    <row r="8" spans="1:3" x14ac:dyDescent="0.25">
      <c r="A8" s="59" t="s">
        <v>77</v>
      </c>
      <c r="B8" s="59">
        <v>15</v>
      </c>
    </row>
    <row r="11" spans="1:3" ht="18.75" x14ac:dyDescent="0.3">
      <c r="A11" s="78" t="s">
        <v>78</v>
      </c>
      <c r="B11" s="80"/>
      <c r="C11" s="80"/>
    </row>
    <row r="12" spans="1:3" ht="16.5" thickBot="1" x14ac:dyDescent="0.3">
      <c r="A12" s="81"/>
      <c r="B12" s="80"/>
      <c r="C12" s="80"/>
    </row>
    <row r="13" spans="1:3" ht="15.75" thickBot="1" x14ac:dyDescent="0.3">
      <c r="A13" s="82" t="s">
        <v>79</v>
      </c>
      <c r="B13" s="83" t="s">
        <v>0</v>
      </c>
      <c r="C13" s="83" t="s">
        <v>80</v>
      </c>
    </row>
    <row r="14" spans="1:3" ht="45.75" thickBot="1" x14ac:dyDescent="0.3">
      <c r="A14" s="84">
        <v>1</v>
      </c>
      <c r="B14" s="85" t="s">
        <v>1</v>
      </c>
      <c r="C14" s="85" t="s">
        <v>81</v>
      </c>
    </row>
    <row r="15" spans="1:3" ht="45.75" thickBot="1" x14ac:dyDescent="0.3">
      <c r="A15" s="84">
        <v>2</v>
      </c>
      <c r="B15" s="85" t="s">
        <v>2</v>
      </c>
      <c r="C15" s="85" t="s">
        <v>82</v>
      </c>
    </row>
    <row r="16" spans="1:3" ht="60.75" thickBot="1" x14ac:dyDescent="0.3">
      <c r="A16" s="84">
        <v>3</v>
      </c>
      <c r="B16" s="85" t="s">
        <v>3</v>
      </c>
      <c r="C16" s="85" t="s">
        <v>83</v>
      </c>
    </row>
    <row r="17" spans="1:3" ht="45.75" thickBot="1" x14ac:dyDescent="0.3">
      <c r="A17" s="84">
        <v>4</v>
      </c>
      <c r="B17" s="85" t="s">
        <v>4</v>
      </c>
      <c r="C17" s="85" t="s">
        <v>84</v>
      </c>
    </row>
    <row r="18" spans="1:3" ht="30.75" thickBot="1" x14ac:dyDescent="0.3">
      <c r="A18" s="84">
        <v>5</v>
      </c>
      <c r="B18" s="85" t="s">
        <v>5</v>
      </c>
      <c r="C18" s="85" t="s">
        <v>85</v>
      </c>
    </row>
    <row r="19" spans="1:3" ht="30.75" thickBot="1" x14ac:dyDescent="0.3">
      <c r="A19" s="84">
        <v>6</v>
      </c>
      <c r="B19" s="85" t="s">
        <v>6</v>
      </c>
      <c r="C19" s="85" t="s">
        <v>86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"/>
  <sheetViews>
    <sheetView showGridLines="0" showZeros="0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E13" sqref="E13"/>
    </sheetView>
  </sheetViews>
  <sheetFormatPr defaultColWidth="7.44140625" defaultRowHeight="15" x14ac:dyDescent="0.2"/>
  <cols>
    <col min="1" max="1" width="35.5546875" style="11" bestFit="1" customWidth="1"/>
    <col min="2" max="2" width="28.109375" style="11" bestFit="1" customWidth="1"/>
    <col min="3" max="14" width="8.6640625" style="12" customWidth="1"/>
    <col min="15" max="22" width="6.33203125" style="12" customWidth="1"/>
    <col min="23" max="16384" width="7.44140625" style="12"/>
  </cols>
  <sheetData>
    <row r="1" spans="1:22" s="91" customFormat="1" x14ac:dyDescent="0.2">
      <c r="A1" s="17"/>
      <c r="B1" s="17"/>
      <c r="C1" s="93" t="s">
        <v>25</v>
      </c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3"/>
      <c r="P1" s="93"/>
      <c r="Q1" s="93"/>
      <c r="R1" s="93"/>
      <c r="S1" s="93"/>
      <c r="T1" s="93"/>
      <c r="U1" s="93"/>
      <c r="V1" s="93"/>
    </row>
    <row r="2" spans="1:22" s="91" customFormat="1" x14ac:dyDescent="0.2">
      <c r="A2" s="17"/>
      <c r="B2" s="17"/>
      <c r="C2" s="25">
        <v>42461</v>
      </c>
      <c r="D2" s="25">
        <v>42491</v>
      </c>
      <c r="E2" s="25">
        <v>42522</v>
      </c>
      <c r="F2" s="25">
        <v>42552</v>
      </c>
      <c r="G2" s="25">
        <v>42583</v>
      </c>
      <c r="H2" s="25">
        <v>42614</v>
      </c>
      <c r="I2" s="25">
        <v>42644</v>
      </c>
      <c r="J2" s="25">
        <v>42675</v>
      </c>
      <c r="K2" s="25">
        <v>42705</v>
      </c>
      <c r="L2" s="25">
        <v>42736</v>
      </c>
      <c r="M2" s="25">
        <v>42767</v>
      </c>
      <c r="N2" s="25">
        <v>42795</v>
      </c>
    </row>
    <row r="3" spans="1:22" ht="15" customHeight="1" x14ac:dyDescent="0.2">
      <c r="A3" s="17"/>
      <c r="B3" s="17"/>
    </row>
    <row r="4" spans="1:22" ht="15" customHeight="1" x14ac:dyDescent="0.2">
      <c r="A4" s="17" t="s">
        <v>54</v>
      </c>
      <c r="B4" s="17"/>
      <c r="C4" s="12">
        <v>60</v>
      </c>
      <c r="D4" s="12">
        <v>40</v>
      </c>
      <c r="E4" s="12">
        <v>50</v>
      </c>
      <c r="F4" s="12">
        <v>60</v>
      </c>
      <c r="G4" s="12">
        <v>40</v>
      </c>
      <c r="H4" s="12">
        <v>50</v>
      </c>
      <c r="I4" s="12">
        <v>20</v>
      </c>
      <c r="J4" s="12">
        <v>30</v>
      </c>
      <c r="K4" s="12">
        <v>80</v>
      </c>
      <c r="L4" s="12">
        <v>30</v>
      </c>
      <c r="M4" s="12">
        <v>40</v>
      </c>
      <c r="N4" s="12">
        <v>30</v>
      </c>
    </row>
    <row r="6" spans="1:22" s="91" customFormat="1" ht="15.75" thickBot="1" x14ac:dyDescent="0.25">
      <c r="A6" s="17" t="s">
        <v>17</v>
      </c>
      <c r="B6" s="17" t="s">
        <v>0</v>
      </c>
    </row>
    <row r="7" spans="1:22" s="91" customFormat="1" x14ac:dyDescent="0.2">
      <c r="A7" s="19" t="s">
        <v>41</v>
      </c>
      <c r="B7" s="19" t="str">
        <f>'C02 - Model Audit Team'!B3</f>
        <v>Director / Partner</v>
      </c>
      <c r="C7" s="33">
        <v>2.25</v>
      </c>
      <c r="D7" s="34">
        <v>1.5</v>
      </c>
      <c r="E7" s="34">
        <v>1.75</v>
      </c>
      <c r="F7" s="34">
        <v>2.25</v>
      </c>
      <c r="G7" s="34">
        <v>1.5</v>
      </c>
      <c r="H7" s="34">
        <v>1.75</v>
      </c>
      <c r="I7" s="34">
        <v>0.75</v>
      </c>
      <c r="J7" s="34">
        <v>1</v>
      </c>
      <c r="K7" s="34">
        <v>3</v>
      </c>
      <c r="L7" s="34">
        <v>1</v>
      </c>
      <c r="M7" s="34">
        <v>1.5</v>
      </c>
      <c r="N7" s="35">
        <v>1</v>
      </c>
      <c r="P7" s="29"/>
    </row>
    <row r="8" spans="1:22" s="91" customFormat="1" x14ac:dyDescent="0.2">
      <c r="A8" s="19" t="s">
        <v>42</v>
      </c>
      <c r="B8" s="19" t="str">
        <f>'C02 - Model Audit Team'!B4</f>
        <v>Managing Consultant</v>
      </c>
      <c r="C8" s="36">
        <v>8</v>
      </c>
      <c r="D8" s="31">
        <v>4.5</v>
      </c>
      <c r="E8" s="31">
        <v>6.25</v>
      </c>
      <c r="F8" s="31">
        <v>8</v>
      </c>
      <c r="G8" s="31">
        <v>4.5</v>
      </c>
      <c r="H8" s="31">
        <v>6.25</v>
      </c>
      <c r="I8" s="31">
        <v>1.25</v>
      </c>
      <c r="J8" s="31">
        <v>3</v>
      </c>
      <c r="K8" s="31">
        <v>11.25</v>
      </c>
      <c r="L8" s="31">
        <v>3</v>
      </c>
      <c r="M8" s="31">
        <v>4.5</v>
      </c>
      <c r="N8" s="37">
        <v>3</v>
      </c>
      <c r="O8" s="91">
        <v>0</v>
      </c>
      <c r="P8" s="29"/>
    </row>
    <row r="9" spans="1:22" s="91" customFormat="1" x14ac:dyDescent="0.2">
      <c r="A9" s="19" t="s">
        <v>43</v>
      </c>
      <c r="B9" s="19" t="str">
        <f>'C02 - Model Audit Team'!B5</f>
        <v>Assistant Director / Principal Consultant</v>
      </c>
      <c r="C9" s="36">
        <v>16</v>
      </c>
      <c r="D9" s="31">
        <v>10</v>
      </c>
      <c r="E9" s="31">
        <v>13.75</v>
      </c>
      <c r="F9" s="31">
        <v>16</v>
      </c>
      <c r="G9" s="31">
        <v>10</v>
      </c>
      <c r="H9" s="31">
        <v>13.75</v>
      </c>
      <c r="I9" s="31">
        <v>6.75</v>
      </c>
      <c r="J9" s="31">
        <v>9</v>
      </c>
      <c r="K9" s="31">
        <v>21</v>
      </c>
      <c r="L9" s="31">
        <v>9</v>
      </c>
      <c r="M9" s="31">
        <v>10</v>
      </c>
      <c r="N9" s="37">
        <v>9</v>
      </c>
      <c r="P9" s="29"/>
    </row>
    <row r="10" spans="1:22" x14ac:dyDescent="0.2">
      <c r="A10" s="19" t="s">
        <v>44</v>
      </c>
      <c r="B10" s="19" t="str">
        <f>'C02 - Model Audit Team'!B6</f>
        <v>Senior Consultant</v>
      </c>
      <c r="C10" s="36">
        <v>8</v>
      </c>
      <c r="D10" s="31">
        <v>5.25</v>
      </c>
      <c r="E10" s="31">
        <v>6.75</v>
      </c>
      <c r="F10" s="31">
        <v>8</v>
      </c>
      <c r="G10" s="31">
        <v>5.25</v>
      </c>
      <c r="H10" s="31">
        <v>6.75</v>
      </c>
      <c r="I10" s="31">
        <v>2.75</v>
      </c>
      <c r="J10" s="31">
        <v>4</v>
      </c>
      <c r="K10" s="31">
        <v>10.75</v>
      </c>
      <c r="L10" s="31">
        <v>4</v>
      </c>
      <c r="M10" s="31">
        <v>5.25</v>
      </c>
      <c r="N10" s="37">
        <v>4</v>
      </c>
      <c r="O10" s="10"/>
      <c r="P10" s="29"/>
      <c r="Q10" s="10"/>
      <c r="R10" s="10"/>
      <c r="S10" s="10"/>
    </row>
    <row r="11" spans="1:22" x14ac:dyDescent="0.2">
      <c r="A11" s="19" t="s">
        <v>5</v>
      </c>
      <c r="B11" s="19" t="str">
        <f>'C02 - Model Audit Team'!B7</f>
        <v>Consultant</v>
      </c>
      <c r="C11" s="36">
        <v>7.75</v>
      </c>
      <c r="D11" s="31">
        <v>5.25</v>
      </c>
      <c r="E11" s="31">
        <v>6.5</v>
      </c>
      <c r="F11" s="31">
        <v>7.75</v>
      </c>
      <c r="G11" s="31">
        <v>5.25</v>
      </c>
      <c r="H11" s="31">
        <v>6.5</v>
      </c>
      <c r="I11" s="31">
        <v>2.5</v>
      </c>
      <c r="J11" s="31">
        <v>4</v>
      </c>
      <c r="K11" s="31">
        <v>10.5</v>
      </c>
      <c r="L11" s="31">
        <v>4</v>
      </c>
      <c r="M11" s="31">
        <v>5.25</v>
      </c>
      <c r="N11" s="37">
        <v>4</v>
      </c>
      <c r="O11" s="10"/>
      <c r="P11" s="29"/>
      <c r="Q11" s="10"/>
      <c r="R11" s="10"/>
      <c r="S11" s="10"/>
    </row>
    <row r="12" spans="1:22" ht="15.75" thickBot="1" x14ac:dyDescent="0.25">
      <c r="A12" s="19" t="s">
        <v>45</v>
      </c>
      <c r="B12" s="19" t="str">
        <f>'C02 - Model Audit Team'!B8</f>
        <v>Junior Consultant</v>
      </c>
      <c r="C12" s="38">
        <v>18</v>
      </c>
      <c r="D12" s="39">
        <v>13.5</v>
      </c>
      <c r="E12" s="39">
        <v>15</v>
      </c>
      <c r="F12" s="39">
        <v>18</v>
      </c>
      <c r="G12" s="39">
        <v>13.5</v>
      </c>
      <c r="H12" s="39">
        <v>15</v>
      </c>
      <c r="I12" s="39">
        <v>6</v>
      </c>
      <c r="J12" s="39">
        <v>9</v>
      </c>
      <c r="K12" s="39">
        <v>23.5</v>
      </c>
      <c r="L12" s="39">
        <v>9</v>
      </c>
      <c r="M12" s="39">
        <v>13.5</v>
      </c>
      <c r="N12" s="40">
        <v>9</v>
      </c>
      <c r="O12" s="10"/>
      <c r="P12" s="29"/>
      <c r="Q12" s="10"/>
      <c r="R12" s="10"/>
      <c r="S12" s="10"/>
    </row>
    <row r="13" spans="1:22" s="91" customFormat="1" x14ac:dyDescent="0.2">
      <c r="A13" s="17"/>
      <c r="B13" s="17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5" spans="1:22" x14ac:dyDescent="0.2">
      <c r="A15" s="11" t="s">
        <v>55</v>
      </c>
    </row>
    <row r="16" spans="1:22" ht="30" x14ac:dyDescent="0.2">
      <c r="A16" s="11" t="s">
        <v>56</v>
      </c>
    </row>
    <row r="17" spans="1:15" ht="30" x14ac:dyDescent="0.2">
      <c r="A17" s="11" t="s">
        <v>57</v>
      </c>
    </row>
    <row r="18" spans="1:15" x14ac:dyDescent="0.2"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</row>
    <row r="19" spans="1:15" x14ac:dyDescent="0.2"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12">
        <f t="shared" ref="O19" si="0">MROUND(O4*0.17,0.25)</f>
        <v>0</v>
      </c>
    </row>
  </sheetData>
  <mergeCells count="2">
    <mergeCell ref="C1:N1"/>
    <mergeCell ref="O1:V1"/>
  </mergeCells>
  <pageMargins left="0.70866141732283472" right="0.70866141732283472" top="0.74803149606299213" bottom="0.74803149606299213" header="0.31496062992125984" footer="0.31496062992125984"/>
  <pageSetup paperSize="8" scale="71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2"/>
  <sheetViews>
    <sheetView showGridLines="0" showZeros="0" workbookViewId="0">
      <pane xSplit="3" ySplit="2" topLeftCell="D3" activePane="bottomRight" state="frozen"/>
      <selection pane="topRight" activeCell="C1" sqref="C1"/>
      <selection pane="bottomLeft" activeCell="A4" sqref="A4"/>
      <selection pane="bottomRight" activeCell="A15" sqref="A15"/>
    </sheetView>
  </sheetViews>
  <sheetFormatPr defaultColWidth="7.44140625" defaultRowHeight="15" x14ac:dyDescent="0.2"/>
  <cols>
    <col min="1" max="1" width="35.5546875" style="11" bestFit="1" customWidth="1"/>
    <col min="2" max="2" width="28.109375" style="11" bestFit="1" customWidth="1"/>
    <col min="3" max="3" width="10.5546875" style="12" customWidth="1"/>
    <col min="4" max="15" width="8.6640625" style="12" customWidth="1"/>
    <col min="16" max="23" width="6.33203125" style="12" customWidth="1"/>
    <col min="24" max="16384" width="7.44140625" style="12"/>
  </cols>
  <sheetData>
    <row r="1" spans="1:23" s="15" customFormat="1" x14ac:dyDescent="0.2">
      <c r="A1" s="17"/>
      <c r="B1" s="17"/>
      <c r="D1" s="93" t="s">
        <v>25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3"/>
      <c r="Q1" s="93"/>
      <c r="R1" s="93"/>
      <c r="S1" s="93"/>
      <c r="T1" s="93"/>
      <c r="U1" s="93"/>
      <c r="V1" s="93"/>
      <c r="W1" s="93"/>
    </row>
    <row r="2" spans="1:23" s="15" customFormat="1" x14ac:dyDescent="0.2">
      <c r="A2" s="17"/>
      <c r="B2" s="17"/>
      <c r="D2" s="25">
        <v>42461</v>
      </c>
      <c r="E2" s="25">
        <v>42491</v>
      </c>
      <c r="F2" s="25">
        <v>42522</v>
      </c>
      <c r="G2" s="25">
        <v>42552</v>
      </c>
      <c r="H2" s="25">
        <v>42583</v>
      </c>
      <c r="I2" s="25">
        <v>42614</v>
      </c>
      <c r="J2" s="25">
        <v>42644</v>
      </c>
      <c r="K2" s="25">
        <v>42675</v>
      </c>
      <c r="L2" s="25">
        <v>42705</v>
      </c>
      <c r="M2" s="25">
        <v>42736</v>
      </c>
      <c r="N2" s="25">
        <v>42767</v>
      </c>
      <c r="O2" s="25">
        <v>42795</v>
      </c>
    </row>
    <row r="3" spans="1:23" ht="15" customHeight="1" x14ac:dyDescent="0.2">
      <c r="A3" s="17"/>
      <c r="B3" s="17"/>
    </row>
    <row r="4" spans="1:23" ht="15" customHeight="1" x14ac:dyDescent="0.2">
      <c r="A4" s="17" t="s">
        <v>54</v>
      </c>
      <c r="B4" s="17"/>
      <c r="D4" s="12">
        <v>60</v>
      </c>
      <c r="E4" s="12">
        <v>40</v>
      </c>
      <c r="F4" s="12">
        <v>50</v>
      </c>
      <c r="G4" s="12">
        <v>60</v>
      </c>
      <c r="H4" s="12">
        <v>40</v>
      </c>
      <c r="I4" s="12">
        <v>50</v>
      </c>
      <c r="J4" s="12">
        <v>20</v>
      </c>
      <c r="K4" s="12">
        <v>30</v>
      </c>
      <c r="L4" s="12">
        <v>80</v>
      </c>
      <c r="M4" s="12">
        <v>30</v>
      </c>
      <c r="N4" s="12">
        <v>40</v>
      </c>
      <c r="O4" s="12">
        <v>30</v>
      </c>
    </row>
    <row r="5" spans="1:23" x14ac:dyDescent="0.2">
      <c r="C5" s="14"/>
    </row>
    <row r="6" spans="1:23" s="15" customFormat="1" ht="15.75" thickBot="1" x14ac:dyDescent="0.25">
      <c r="A6" s="17" t="s">
        <v>17</v>
      </c>
      <c r="B6" s="17" t="s">
        <v>0</v>
      </c>
      <c r="C6" s="15" t="s">
        <v>16</v>
      </c>
    </row>
    <row r="7" spans="1:23" s="15" customFormat="1" x14ac:dyDescent="0.2">
      <c r="A7" s="19" t="s">
        <v>41</v>
      </c>
      <c r="B7" s="19" t="str">
        <f>'C02 - Model Audit Team'!B3</f>
        <v>Director / Partner</v>
      </c>
      <c r="C7" s="14">
        <f t="shared" ref="C7:C12" si="0">VLOOKUP(B7,Grades,2)</f>
        <v>1000</v>
      </c>
      <c r="D7" s="33">
        <v>2.25</v>
      </c>
      <c r="E7" s="34">
        <v>1.5</v>
      </c>
      <c r="F7" s="34">
        <v>1.75</v>
      </c>
      <c r="G7" s="34">
        <v>2.25</v>
      </c>
      <c r="H7" s="34">
        <v>1.5</v>
      </c>
      <c r="I7" s="34">
        <v>1.75</v>
      </c>
      <c r="J7" s="34">
        <v>0.75</v>
      </c>
      <c r="K7" s="34">
        <v>1</v>
      </c>
      <c r="L7" s="34">
        <v>3</v>
      </c>
      <c r="M7" s="34">
        <v>1</v>
      </c>
      <c r="N7" s="34">
        <v>1.5</v>
      </c>
      <c r="O7" s="35">
        <v>1</v>
      </c>
      <c r="Q7" s="29"/>
    </row>
    <row r="8" spans="1:23" s="15" customFormat="1" x14ac:dyDescent="0.2">
      <c r="A8" s="19" t="s">
        <v>42</v>
      </c>
      <c r="B8" s="19" t="str">
        <f>'C02 - Model Audit Team'!B4</f>
        <v>Managing Consultant</v>
      </c>
      <c r="C8" s="14">
        <f t="shared" si="0"/>
        <v>800</v>
      </c>
      <c r="D8" s="36">
        <v>8</v>
      </c>
      <c r="E8" s="31">
        <v>4.5</v>
      </c>
      <c r="F8" s="31">
        <v>6.25</v>
      </c>
      <c r="G8" s="31">
        <v>8</v>
      </c>
      <c r="H8" s="31">
        <v>4.5</v>
      </c>
      <c r="I8" s="31">
        <v>6.25</v>
      </c>
      <c r="J8" s="31">
        <v>1.25</v>
      </c>
      <c r="K8" s="31">
        <v>3</v>
      </c>
      <c r="L8" s="31">
        <v>11.25</v>
      </c>
      <c r="M8" s="31">
        <v>3</v>
      </c>
      <c r="N8" s="31">
        <v>4.5</v>
      </c>
      <c r="O8" s="37">
        <v>3</v>
      </c>
      <c r="P8" s="15">
        <v>0</v>
      </c>
      <c r="Q8" s="29"/>
    </row>
    <row r="9" spans="1:23" s="15" customFormat="1" x14ac:dyDescent="0.2">
      <c r="A9" s="19" t="s">
        <v>43</v>
      </c>
      <c r="B9" s="19" t="str">
        <f>'C02 - Model Audit Team'!B5</f>
        <v>Assistant Director / Principal Consultant</v>
      </c>
      <c r="C9" s="14">
        <f t="shared" si="0"/>
        <v>600</v>
      </c>
      <c r="D9" s="36">
        <v>16</v>
      </c>
      <c r="E9" s="31">
        <v>10</v>
      </c>
      <c r="F9" s="31">
        <v>13.75</v>
      </c>
      <c r="G9" s="31">
        <v>16</v>
      </c>
      <c r="H9" s="31">
        <v>10</v>
      </c>
      <c r="I9" s="31">
        <v>13.75</v>
      </c>
      <c r="J9" s="31">
        <v>6.75</v>
      </c>
      <c r="K9" s="31">
        <v>9</v>
      </c>
      <c r="L9" s="31">
        <v>21</v>
      </c>
      <c r="M9" s="31">
        <v>9</v>
      </c>
      <c r="N9" s="31">
        <v>10</v>
      </c>
      <c r="O9" s="37">
        <v>9</v>
      </c>
      <c r="Q9" s="29"/>
    </row>
    <row r="10" spans="1:23" x14ac:dyDescent="0.2">
      <c r="A10" s="19" t="s">
        <v>44</v>
      </c>
      <c r="B10" s="19" t="str">
        <f>'C02 - Model Audit Team'!B6</f>
        <v>Senior Consultant</v>
      </c>
      <c r="C10" s="14">
        <f t="shared" si="0"/>
        <v>500</v>
      </c>
      <c r="D10" s="36">
        <v>8</v>
      </c>
      <c r="E10" s="31">
        <v>5.25</v>
      </c>
      <c r="F10" s="31">
        <v>6.75</v>
      </c>
      <c r="G10" s="31">
        <v>8</v>
      </c>
      <c r="H10" s="31">
        <v>5.25</v>
      </c>
      <c r="I10" s="31">
        <v>6.75</v>
      </c>
      <c r="J10" s="31">
        <v>2.75</v>
      </c>
      <c r="K10" s="31">
        <v>4</v>
      </c>
      <c r="L10" s="31">
        <v>10.75</v>
      </c>
      <c r="M10" s="31">
        <v>4</v>
      </c>
      <c r="N10" s="31">
        <v>5.25</v>
      </c>
      <c r="O10" s="37">
        <v>4</v>
      </c>
      <c r="P10" s="10"/>
      <c r="Q10" s="29"/>
      <c r="R10" s="10"/>
      <c r="S10" s="10"/>
      <c r="T10" s="10"/>
    </row>
    <row r="11" spans="1:23" x14ac:dyDescent="0.2">
      <c r="A11" s="19" t="s">
        <v>5</v>
      </c>
      <c r="B11" s="19" t="str">
        <f>'C02 - Model Audit Team'!B7</f>
        <v>Consultant</v>
      </c>
      <c r="C11" s="14">
        <f t="shared" si="0"/>
        <v>400</v>
      </c>
      <c r="D11" s="36">
        <v>7.75</v>
      </c>
      <c r="E11" s="31">
        <v>5.25</v>
      </c>
      <c r="F11" s="31">
        <v>6.5</v>
      </c>
      <c r="G11" s="31">
        <v>7.75</v>
      </c>
      <c r="H11" s="31">
        <v>5.25</v>
      </c>
      <c r="I11" s="31">
        <v>6.5</v>
      </c>
      <c r="J11" s="31">
        <v>2.5</v>
      </c>
      <c r="K11" s="31">
        <v>4</v>
      </c>
      <c r="L11" s="31">
        <v>10.5</v>
      </c>
      <c r="M11" s="31">
        <v>4</v>
      </c>
      <c r="N11" s="31">
        <v>5.25</v>
      </c>
      <c r="O11" s="37">
        <v>4</v>
      </c>
      <c r="P11" s="10"/>
      <c r="Q11" s="29"/>
      <c r="R11" s="10"/>
      <c r="S11" s="10"/>
      <c r="T11" s="10"/>
    </row>
    <row r="12" spans="1:23" ht="15.75" thickBot="1" x14ac:dyDescent="0.25">
      <c r="A12" s="19" t="s">
        <v>45</v>
      </c>
      <c r="B12" s="19" t="str">
        <f>'C02 - Model Audit Team'!B8</f>
        <v>Junior Consultant</v>
      </c>
      <c r="C12" s="14">
        <f t="shared" si="0"/>
        <v>300</v>
      </c>
      <c r="D12" s="38">
        <v>18</v>
      </c>
      <c r="E12" s="39">
        <v>13.5</v>
      </c>
      <c r="F12" s="39">
        <v>15</v>
      </c>
      <c r="G12" s="39">
        <v>18</v>
      </c>
      <c r="H12" s="39">
        <v>13.5</v>
      </c>
      <c r="I12" s="39">
        <v>15</v>
      </c>
      <c r="J12" s="39">
        <v>6</v>
      </c>
      <c r="K12" s="39">
        <v>9</v>
      </c>
      <c r="L12" s="39">
        <v>23.5</v>
      </c>
      <c r="M12" s="39">
        <v>9</v>
      </c>
      <c r="N12" s="39">
        <v>13.5</v>
      </c>
      <c r="O12" s="40">
        <v>9</v>
      </c>
      <c r="P12" s="10"/>
      <c r="Q12" s="29"/>
      <c r="R12" s="10"/>
      <c r="S12" s="10"/>
      <c r="T12" s="10"/>
    </row>
    <row r="13" spans="1:23" s="15" customFormat="1" x14ac:dyDescent="0.2">
      <c r="A13" s="17" t="s">
        <v>92</v>
      </c>
      <c r="B13" s="17"/>
      <c r="D13" s="10">
        <f>IF(SUM(D7:D12)&lt;&gt;D4,"Error",SUM(D7:D12))</f>
        <v>60</v>
      </c>
      <c r="E13" s="10">
        <f t="shared" ref="E13:O13" si="1">IF(SUM(E7:E12)&lt;&gt;E4,"Error",SUM(E7:E12))</f>
        <v>40</v>
      </c>
      <c r="F13" s="10">
        <f t="shared" si="1"/>
        <v>50</v>
      </c>
      <c r="G13" s="10">
        <f t="shared" si="1"/>
        <v>60</v>
      </c>
      <c r="H13" s="10">
        <f t="shared" si="1"/>
        <v>40</v>
      </c>
      <c r="I13" s="10">
        <f t="shared" si="1"/>
        <v>50</v>
      </c>
      <c r="J13" s="10">
        <f t="shared" si="1"/>
        <v>20</v>
      </c>
      <c r="K13" s="10">
        <f t="shared" si="1"/>
        <v>30</v>
      </c>
      <c r="L13" s="10">
        <f t="shared" si="1"/>
        <v>80</v>
      </c>
      <c r="M13" s="10">
        <f t="shared" si="1"/>
        <v>30</v>
      </c>
      <c r="N13" s="10">
        <f t="shared" si="1"/>
        <v>40</v>
      </c>
      <c r="O13" s="10">
        <f t="shared" si="1"/>
        <v>30</v>
      </c>
    </row>
    <row r="14" spans="1:23" x14ac:dyDescent="0.2">
      <c r="A14" s="17" t="s">
        <v>93</v>
      </c>
      <c r="B14" s="17"/>
      <c r="D14" s="14">
        <f>(D7*$C7+D8*$C8+D9*$C9+D10*$C10+D11*$C11+D12*$C12)</f>
        <v>30750</v>
      </c>
      <c r="E14" s="14">
        <f t="shared" ref="E14:O14" si="2">(E7*$C7+E8*$C8+E9*$C9+E10*$C10+E11*$C11+E12*$C12)</f>
        <v>19875</v>
      </c>
      <c r="F14" s="14">
        <f t="shared" si="2"/>
        <v>25475</v>
      </c>
      <c r="G14" s="14">
        <f t="shared" si="2"/>
        <v>30750</v>
      </c>
      <c r="H14" s="14">
        <f t="shared" si="2"/>
        <v>19875</v>
      </c>
      <c r="I14" s="14">
        <f t="shared" si="2"/>
        <v>25475</v>
      </c>
      <c r="J14" s="14">
        <f t="shared" si="2"/>
        <v>9975</v>
      </c>
      <c r="K14" s="14">
        <f t="shared" si="2"/>
        <v>15100</v>
      </c>
      <c r="L14" s="14">
        <f t="shared" si="2"/>
        <v>41225</v>
      </c>
      <c r="M14" s="14">
        <f t="shared" si="2"/>
        <v>15100</v>
      </c>
      <c r="N14" s="14">
        <f t="shared" si="2"/>
        <v>19875</v>
      </c>
      <c r="O14" s="14">
        <f t="shared" si="2"/>
        <v>15100</v>
      </c>
    </row>
    <row r="15" spans="1:23" x14ac:dyDescent="0.2">
      <c r="A15" s="17" t="s">
        <v>94</v>
      </c>
      <c r="B15" s="17"/>
      <c r="C15" s="14"/>
      <c r="D15" s="16">
        <f>SUM(D14:O14)</f>
        <v>268575</v>
      </c>
      <c r="E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23" s="15" customFormat="1" x14ac:dyDescent="0.2">
      <c r="A16" s="17"/>
      <c r="B16" s="17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8" spans="1:16" x14ac:dyDescent="0.2">
      <c r="A18" s="11" t="s">
        <v>55</v>
      </c>
    </row>
    <row r="19" spans="1:16" ht="30" x14ac:dyDescent="0.2">
      <c r="A19" s="11" t="s">
        <v>56</v>
      </c>
    </row>
    <row r="20" spans="1:16" ht="30" x14ac:dyDescent="0.2">
      <c r="A20" s="11" t="s">
        <v>57</v>
      </c>
    </row>
    <row r="21" spans="1:16" x14ac:dyDescent="0.2"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</row>
    <row r="22" spans="1:16" x14ac:dyDescent="0.2"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12">
        <f t="shared" ref="P22" si="3">MROUND(P4*0.17,0.25)</f>
        <v>0</v>
      </c>
    </row>
  </sheetData>
  <mergeCells count="2">
    <mergeCell ref="P1:W1"/>
    <mergeCell ref="D1:O1"/>
  </mergeCells>
  <pageMargins left="0.70866141732283472" right="0.70866141732283472" top="0.74803149606299213" bottom="0.74803149606299213" header="0.31496062992125984" footer="0.31496062992125984"/>
  <pageSetup paperSize="8" scale="71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showZeros="0" topLeftCell="E1" zoomScale="75" zoomScaleNormal="75" zoomScalePageLayoutView="75" workbookViewId="0">
      <selection activeCell="J34" sqref="J34"/>
    </sheetView>
  </sheetViews>
  <sheetFormatPr defaultColWidth="11.5546875" defaultRowHeight="18.75" x14ac:dyDescent="0.3"/>
  <cols>
    <col min="1" max="1" width="32.6640625" style="1" customWidth="1"/>
    <col min="2" max="2" width="50.6640625" style="1" customWidth="1"/>
    <col min="3" max="3" width="22.33203125" style="1" customWidth="1"/>
    <col min="4" max="8" width="17.6640625" style="1" customWidth="1"/>
    <col min="9" max="9" width="27.109375" style="1" bestFit="1" customWidth="1"/>
    <col min="10" max="10" width="17.6640625" style="1" customWidth="1"/>
    <col min="11" max="16384" width="11.5546875" style="1"/>
  </cols>
  <sheetData>
    <row r="1" spans="1:16" ht="27.95" customHeight="1" x14ac:dyDescent="0.3">
      <c r="A1" s="100" t="s">
        <v>50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6" ht="56.25" x14ac:dyDescent="0.3">
      <c r="A2" s="2" t="s">
        <v>51</v>
      </c>
      <c r="B2" s="3" t="s">
        <v>52</v>
      </c>
      <c r="C2" s="3" t="s">
        <v>53</v>
      </c>
      <c r="D2" s="27" t="s">
        <v>20</v>
      </c>
      <c r="E2" s="27" t="s">
        <v>46</v>
      </c>
      <c r="F2" s="27" t="s">
        <v>49</v>
      </c>
      <c r="G2" s="27" t="s">
        <v>47</v>
      </c>
      <c r="H2" s="27" t="s">
        <v>48</v>
      </c>
      <c r="I2" s="27" t="s">
        <v>59</v>
      </c>
      <c r="J2" s="28" t="s">
        <v>58</v>
      </c>
    </row>
    <row r="3" spans="1:16" ht="18.75" customHeight="1" x14ac:dyDescent="0.3">
      <c r="A3" s="22" t="s">
        <v>41</v>
      </c>
      <c r="B3" s="22" t="s">
        <v>1</v>
      </c>
      <c r="C3" s="4"/>
      <c r="D3" s="18">
        <f t="shared" ref="D3:D8" si="0">VLOOKUP(B3,Grades,2)</f>
        <v>1000</v>
      </c>
      <c r="E3" s="24">
        <v>20</v>
      </c>
      <c r="F3" s="26">
        <f>E3/$E$9</f>
        <v>3.7735849056603772E-2</v>
      </c>
      <c r="G3" s="18">
        <f>D3*E3</f>
        <v>20000</v>
      </c>
      <c r="H3" s="24">
        <f>SUM('C01 - Priced Resources'!D7:O7)</f>
        <v>19.25</v>
      </c>
      <c r="I3" s="26">
        <f t="shared" ref="I3:I8" si="1">IF(HLOOKUP(A3,First,14)&gt;=230,"Greater than 230 days Review",HLOOKUP(A3,First,14)/230)</f>
        <v>8.3695652173913046E-2</v>
      </c>
      <c r="J3" s="48">
        <f t="shared" ref="J3:J8" si="2">IFERROR(D3*H3,"tbc")</f>
        <v>19250</v>
      </c>
      <c r="M3" s="43"/>
      <c r="N3" s="43"/>
      <c r="O3" s="6"/>
      <c r="P3" s="53"/>
    </row>
    <row r="4" spans="1:16" ht="18.75" customHeight="1" x14ac:dyDescent="0.3">
      <c r="A4" s="22" t="s">
        <v>42</v>
      </c>
      <c r="B4" s="22" t="s">
        <v>2</v>
      </c>
      <c r="C4" s="4"/>
      <c r="D4" s="18">
        <f t="shared" si="0"/>
        <v>800</v>
      </c>
      <c r="E4" s="24">
        <v>80</v>
      </c>
      <c r="F4" s="26">
        <f t="shared" ref="F4:F8" si="3">E4/$E$9</f>
        <v>0.15094339622641509</v>
      </c>
      <c r="G4" s="18">
        <f t="shared" ref="G4:G8" si="4">D4*E4</f>
        <v>64000</v>
      </c>
      <c r="H4" s="24">
        <f>SUM('C01 - Priced Resources'!D8:O8)</f>
        <v>63.5</v>
      </c>
      <c r="I4" s="26">
        <f t="shared" si="1"/>
        <v>0.27608695652173915</v>
      </c>
      <c r="J4" s="48">
        <f t="shared" si="2"/>
        <v>50800</v>
      </c>
      <c r="M4" s="43"/>
      <c r="N4" s="43"/>
      <c r="O4" s="6"/>
      <c r="P4" s="53"/>
    </row>
    <row r="5" spans="1:16" ht="18.75" customHeight="1" x14ac:dyDescent="0.3">
      <c r="A5" s="22" t="s">
        <v>43</v>
      </c>
      <c r="B5" s="22" t="s">
        <v>22</v>
      </c>
      <c r="C5" s="4"/>
      <c r="D5" s="18">
        <f t="shared" si="0"/>
        <v>600</v>
      </c>
      <c r="E5" s="24">
        <v>80</v>
      </c>
      <c r="F5" s="26">
        <f t="shared" si="3"/>
        <v>0.15094339622641509</v>
      </c>
      <c r="G5" s="18">
        <f t="shared" si="4"/>
        <v>48000</v>
      </c>
      <c r="H5" s="24">
        <f>SUM('C01 - Priced Resources'!D9:O9)</f>
        <v>144.25</v>
      </c>
      <c r="I5" s="26">
        <f t="shared" si="1"/>
        <v>0.62717391304347825</v>
      </c>
      <c r="J5" s="48">
        <f t="shared" si="2"/>
        <v>86550</v>
      </c>
      <c r="M5" s="43"/>
      <c r="N5" s="43"/>
      <c r="O5" s="6"/>
      <c r="P5" s="53"/>
    </row>
    <row r="6" spans="1:16" ht="18.75" customHeight="1" x14ac:dyDescent="0.3">
      <c r="A6" s="22" t="s">
        <v>44</v>
      </c>
      <c r="B6" s="22" t="s">
        <v>4</v>
      </c>
      <c r="C6" s="4"/>
      <c r="D6" s="18">
        <f t="shared" si="0"/>
        <v>500</v>
      </c>
      <c r="E6" s="24">
        <v>90</v>
      </c>
      <c r="F6" s="26">
        <f t="shared" si="3"/>
        <v>0.16981132075471697</v>
      </c>
      <c r="G6" s="18">
        <f t="shared" si="4"/>
        <v>45000</v>
      </c>
      <c r="H6" s="24">
        <f>SUM('C01 - Priced Resources'!D10:O10)</f>
        <v>70.75</v>
      </c>
      <c r="I6" s="26">
        <f t="shared" si="1"/>
        <v>0.30760869565217391</v>
      </c>
      <c r="J6" s="48">
        <f t="shared" si="2"/>
        <v>35375</v>
      </c>
      <c r="M6" s="43"/>
      <c r="N6" s="43"/>
      <c r="O6" s="6"/>
      <c r="P6" s="53"/>
    </row>
    <row r="7" spans="1:16" ht="18.75" customHeight="1" x14ac:dyDescent="0.3">
      <c r="A7" s="22" t="s">
        <v>5</v>
      </c>
      <c r="B7" s="22" t="s">
        <v>5</v>
      </c>
      <c r="C7" s="4"/>
      <c r="D7" s="18">
        <f t="shared" si="0"/>
        <v>400</v>
      </c>
      <c r="E7" s="24">
        <v>90</v>
      </c>
      <c r="F7" s="26">
        <f t="shared" si="3"/>
        <v>0.16981132075471697</v>
      </c>
      <c r="G7" s="18">
        <f t="shared" si="4"/>
        <v>36000</v>
      </c>
      <c r="H7" s="24">
        <f>SUM('C01 - Priced Resources'!D11:O11)</f>
        <v>69.25</v>
      </c>
      <c r="I7" s="26">
        <f t="shared" si="1"/>
        <v>0.30108695652173911</v>
      </c>
      <c r="J7" s="48">
        <f t="shared" si="2"/>
        <v>27700</v>
      </c>
      <c r="M7" s="43"/>
      <c r="N7" s="43"/>
      <c r="O7" s="6"/>
      <c r="P7" s="53"/>
    </row>
    <row r="8" spans="1:16" ht="18.75" customHeight="1" x14ac:dyDescent="0.3">
      <c r="A8" s="22" t="s">
        <v>45</v>
      </c>
      <c r="B8" s="22" t="s">
        <v>6</v>
      </c>
      <c r="C8" s="4"/>
      <c r="D8" s="18">
        <f t="shared" si="0"/>
        <v>300</v>
      </c>
      <c r="E8" s="24">
        <v>170</v>
      </c>
      <c r="F8" s="26">
        <f t="shared" si="3"/>
        <v>0.32075471698113206</v>
      </c>
      <c r="G8" s="18">
        <f t="shared" si="4"/>
        <v>51000</v>
      </c>
      <c r="H8" s="24">
        <f>SUM('C01 - Priced Resources'!D12:O12)</f>
        <v>163</v>
      </c>
      <c r="I8" s="26">
        <f t="shared" si="1"/>
        <v>0.70869565217391306</v>
      </c>
      <c r="J8" s="48">
        <f t="shared" si="2"/>
        <v>48900</v>
      </c>
      <c r="M8" s="43"/>
      <c r="N8" s="43"/>
      <c r="O8" s="6"/>
      <c r="P8" s="53"/>
    </row>
    <row r="9" spans="1:16" ht="18.75" customHeight="1" thickBot="1" x14ac:dyDescent="0.35">
      <c r="A9" s="97" t="s">
        <v>21</v>
      </c>
      <c r="B9" s="98"/>
      <c r="C9" s="98"/>
      <c r="D9" s="99"/>
      <c r="E9" s="52">
        <f>SUM(E3:E8)</f>
        <v>530</v>
      </c>
      <c r="F9" s="32">
        <f>SUM(F3:F8)</f>
        <v>1</v>
      </c>
      <c r="G9" s="46">
        <f>SUM(G3:G8)</f>
        <v>264000</v>
      </c>
      <c r="H9" s="52">
        <f>SUM(H3:H8)</f>
        <v>530</v>
      </c>
      <c r="I9" s="21"/>
      <c r="J9" s="49">
        <f>SUM(J3:J8)</f>
        <v>268575</v>
      </c>
    </row>
    <row r="10" spans="1:16" ht="18.75" customHeight="1" x14ac:dyDescent="0.3">
      <c r="A10" s="95"/>
      <c r="B10" s="95"/>
      <c r="C10" s="95"/>
      <c r="D10" s="95"/>
      <c r="E10" s="30"/>
      <c r="F10" s="30"/>
      <c r="G10" s="30"/>
      <c r="H10" s="96"/>
      <c r="I10" s="96"/>
    </row>
    <row r="11" spans="1:16" ht="18.75" customHeight="1" x14ac:dyDescent="0.3">
      <c r="A11" s="20" t="s">
        <v>8</v>
      </c>
      <c r="B11" s="20"/>
      <c r="C11" s="20"/>
      <c r="D11" s="20"/>
      <c r="E11" s="20"/>
      <c r="F11" s="20"/>
      <c r="G11" s="20"/>
      <c r="H11" s="20"/>
      <c r="I11" s="20"/>
      <c r="J11" s="20"/>
    </row>
    <row r="12" spans="1:16" ht="18.75" customHeight="1" x14ac:dyDescent="0.3">
      <c r="H12" s="13"/>
    </row>
    <row r="13" spans="1:16" ht="18.75" customHeight="1" x14ac:dyDescent="0.3">
      <c r="A13" s="1" t="s">
        <v>61</v>
      </c>
      <c r="D13" s="13">
        <f>AVERAGE(D3:D8)</f>
        <v>600</v>
      </c>
      <c r="J13" s="47">
        <f>IF(J9&gt;G9,J9,(G9+J9)/2)</f>
        <v>268575</v>
      </c>
    </row>
    <row r="14" spans="1:16" ht="18.75" customHeight="1" x14ac:dyDescent="0.3">
      <c r="G14" s="47"/>
    </row>
    <row r="15" spans="1:16" ht="18.75" customHeight="1" x14ac:dyDescent="0.3"/>
    <row r="16" spans="1:16" ht="18.75" customHeight="1" x14ac:dyDescent="0.3">
      <c r="A16" s="7" t="s">
        <v>9</v>
      </c>
      <c r="B16" s="7" t="s">
        <v>14</v>
      </c>
      <c r="C16" s="7"/>
    </row>
    <row r="17" spans="1:10" ht="18.75" customHeight="1" x14ac:dyDescent="0.3">
      <c r="A17" s="1" t="s">
        <v>1</v>
      </c>
      <c r="B17" s="1" t="s">
        <v>7</v>
      </c>
      <c r="J17" s="5" t="str">
        <f>IFERROR(B17*D3,"tbc")</f>
        <v>tbc</v>
      </c>
    </row>
    <row r="18" spans="1:10" ht="18.75" customHeight="1" x14ac:dyDescent="0.3">
      <c r="A18" s="1" t="s">
        <v>2</v>
      </c>
      <c r="B18" s="1" t="s">
        <v>7</v>
      </c>
      <c r="J18" s="5" t="str">
        <f>IFERROR(B18*D5,"tbc")</f>
        <v>tbc</v>
      </c>
    </row>
    <row r="19" spans="1:10" ht="18.75" customHeight="1" x14ac:dyDescent="0.3">
      <c r="A19" s="1" t="s">
        <v>3</v>
      </c>
      <c r="B19" s="1" t="s">
        <v>7</v>
      </c>
      <c r="J19" s="5" t="str">
        <f>IFERROR(B19*#REF!,"tbc")</f>
        <v>tbc</v>
      </c>
    </row>
    <row r="20" spans="1:10" ht="18.75" customHeight="1" x14ac:dyDescent="0.3">
      <c r="A20" s="1" t="s">
        <v>4</v>
      </c>
      <c r="B20" s="1" t="s">
        <v>7</v>
      </c>
      <c r="J20" s="5" t="str">
        <f>IFERROR(B20*#REF!,"tbc")</f>
        <v>tbc</v>
      </c>
    </row>
    <row r="21" spans="1:10" ht="18.75" customHeight="1" x14ac:dyDescent="0.3">
      <c r="A21" s="1" t="s">
        <v>5</v>
      </c>
      <c r="B21" s="1" t="s">
        <v>7</v>
      </c>
      <c r="J21" s="5" t="str">
        <f>IFERROR(B21*#REF!,"tbc")</f>
        <v>tbc</v>
      </c>
    </row>
    <row r="22" spans="1:10" ht="18.75" customHeight="1" x14ac:dyDescent="0.3">
      <c r="A22" s="1" t="s">
        <v>6</v>
      </c>
      <c r="B22" s="1" t="s">
        <v>7</v>
      </c>
      <c r="J22" s="5" t="str">
        <f>IFERROR(B22*#REF!,"tbc")</f>
        <v>tbc</v>
      </c>
    </row>
    <row r="23" spans="1:10" ht="18.75" customHeight="1" x14ac:dyDescent="0.3"/>
    <row r="24" spans="1:10" ht="18.75" customHeight="1" x14ac:dyDescent="0.3">
      <c r="A24" s="1" t="s">
        <v>10</v>
      </c>
      <c r="H24" s="5">
        <f>SUM(J17:J22)</f>
        <v>0</v>
      </c>
      <c r="J24" s="5">
        <f>SUM(J17:J22)</f>
        <v>0</v>
      </c>
    </row>
    <row r="25" spans="1:10" ht="18.75" customHeight="1" x14ac:dyDescent="0.3"/>
    <row r="26" spans="1:10" ht="18.75" customHeight="1" x14ac:dyDescent="0.3">
      <c r="A26" s="1" t="s">
        <v>11</v>
      </c>
      <c r="J26" s="13">
        <f>J13-J24</f>
        <v>268575</v>
      </c>
    </row>
    <row r="27" spans="1:10" ht="18.75" customHeight="1" x14ac:dyDescent="0.3"/>
    <row r="28" spans="1:10" ht="18.75" customHeight="1" x14ac:dyDescent="0.3">
      <c r="A28" s="1" t="s">
        <v>15</v>
      </c>
      <c r="B28" s="6">
        <v>0</v>
      </c>
      <c r="C28" s="6"/>
      <c r="J28" s="13">
        <f>J26*B28</f>
        <v>0</v>
      </c>
    </row>
    <row r="29" spans="1:10" ht="18.75" customHeight="1" x14ac:dyDescent="0.3">
      <c r="J29" s="13"/>
    </row>
    <row r="30" spans="1:10" ht="18.75" customHeight="1" x14ac:dyDescent="0.3">
      <c r="A30" s="1" t="s">
        <v>12</v>
      </c>
      <c r="B30" s="6"/>
      <c r="J30" s="13">
        <f>J26-J28</f>
        <v>268575</v>
      </c>
    </row>
    <row r="31" spans="1:10" ht="18.75" customHeight="1" x14ac:dyDescent="0.3">
      <c r="J31" s="13"/>
    </row>
    <row r="32" spans="1:10" ht="18.75" customHeight="1" x14ac:dyDescent="0.3">
      <c r="A32" s="1" t="s">
        <v>13</v>
      </c>
      <c r="B32" s="1" t="s">
        <v>7</v>
      </c>
      <c r="J32" s="13" t="str">
        <f>IF(B32="tbc","",B32)</f>
        <v/>
      </c>
    </row>
    <row r="33" spans="1:10" ht="18.75" customHeight="1" x14ac:dyDescent="0.3"/>
    <row r="34" spans="1:10" x14ac:dyDescent="0.3">
      <c r="A34" s="76" t="s">
        <v>95</v>
      </c>
      <c r="J34" s="92">
        <f>MIN(J30,J32)</f>
        <v>268575</v>
      </c>
    </row>
  </sheetData>
  <sheetProtection selectLockedCells="1"/>
  <sortState ref="L3:N8">
    <sortCondition ref="L3"/>
  </sortState>
  <mergeCells count="4">
    <mergeCell ref="A10:D10"/>
    <mergeCell ref="H10:I10"/>
    <mergeCell ref="A9:D9"/>
    <mergeCell ref="A1:J1"/>
  </mergeCells>
  <conditionalFormatting sqref="J9">
    <cfRule type="cellIs" dxfId="8" priority="5" operator="notEqual">
      <formula>#REF!</formula>
    </cfRule>
  </conditionalFormatting>
  <conditionalFormatting sqref="I3:I8">
    <cfRule type="cellIs" dxfId="7" priority="1" operator="greaterThan">
      <formula>0.7</formula>
    </cfRule>
    <cfRule type="expression" dxfId="6" priority="3">
      <formula>"&gt;=Review"</formula>
    </cfRule>
  </conditionalFormatting>
  <conditionalFormatting sqref="I3:I8">
    <cfRule type="cellIs" dxfId="5" priority="2" operator="greaterThan">
      <formula>0.75</formula>
    </cfRule>
  </conditionalFormatting>
  <pageMargins left="0.74803149606299213" right="0.74803149606299213" top="0.98425196850393704" bottom="0.98425196850393704" header="0.51181102362204722" footer="0.51181102362204722"/>
  <pageSetup paperSize="9" scale="4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opLeftCell="F1" workbookViewId="0">
      <selection activeCell="B9" sqref="B9"/>
    </sheetView>
  </sheetViews>
  <sheetFormatPr defaultColWidth="8.6640625" defaultRowHeight="15" x14ac:dyDescent="0.2"/>
  <cols>
    <col min="1" max="1" width="33.109375" bestFit="1" customWidth="1"/>
  </cols>
  <sheetData>
    <row r="1" spans="1:2" x14ac:dyDescent="0.2">
      <c r="A1" t="s">
        <v>0</v>
      </c>
      <c r="B1" t="s">
        <v>19</v>
      </c>
    </row>
    <row r="2" spans="1:2" x14ac:dyDescent="0.2">
      <c r="A2" t="s">
        <v>22</v>
      </c>
      <c r="B2" s="50">
        <v>600</v>
      </c>
    </row>
    <row r="3" spans="1:2" x14ac:dyDescent="0.2">
      <c r="A3" t="s">
        <v>5</v>
      </c>
      <c r="B3" s="50">
        <v>400</v>
      </c>
    </row>
    <row r="4" spans="1:2" x14ac:dyDescent="0.2">
      <c r="A4" t="s">
        <v>1</v>
      </c>
      <c r="B4" s="50">
        <v>1000</v>
      </c>
    </row>
    <row r="5" spans="1:2" x14ac:dyDescent="0.2">
      <c r="A5" t="s">
        <v>6</v>
      </c>
      <c r="B5" s="50">
        <v>300</v>
      </c>
    </row>
    <row r="6" spans="1:2" x14ac:dyDescent="0.2">
      <c r="A6" t="s">
        <v>2</v>
      </c>
      <c r="B6" s="50">
        <v>800</v>
      </c>
    </row>
    <row r="7" spans="1:2" x14ac:dyDescent="0.2">
      <c r="A7" t="s">
        <v>4</v>
      </c>
      <c r="B7" s="50">
        <v>500</v>
      </c>
    </row>
    <row r="9" spans="1:2" x14ac:dyDescent="0.2">
      <c r="A9" t="s">
        <v>60</v>
      </c>
    </row>
  </sheetData>
  <sortState ref="A2:B7">
    <sortCondition ref="A2:A7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K19"/>
  <sheetViews>
    <sheetView workbookViewId="0">
      <selection activeCell="B22" sqref="B22:C27"/>
    </sheetView>
  </sheetViews>
  <sheetFormatPr defaultColWidth="8.6640625" defaultRowHeight="15.75" x14ac:dyDescent="0.25"/>
  <cols>
    <col min="1" max="1" width="11.6640625" style="43" customWidth="1"/>
    <col min="2" max="2" width="14.109375" style="43" customWidth="1"/>
    <col min="3" max="3" width="7.33203125" style="43" customWidth="1"/>
    <col min="4" max="4" width="5.6640625" style="43" customWidth="1"/>
    <col min="5" max="5" width="8.6640625" style="43" customWidth="1"/>
    <col min="6" max="6" width="7.6640625" style="43" customWidth="1"/>
    <col min="7" max="7" width="6" style="43" customWidth="1"/>
    <col min="8" max="8" width="10.109375" style="43" customWidth="1"/>
    <col min="9" max="9" width="12.5546875" style="43" customWidth="1"/>
    <col min="10" max="10" width="10.33203125" style="43" customWidth="1"/>
    <col min="11" max="11" width="19.6640625" style="43" customWidth="1"/>
    <col min="12" max="12" width="14.33203125" style="43" customWidth="1"/>
    <col min="13" max="13" width="11.44140625" style="43" customWidth="1"/>
    <col min="14" max="14" width="11.6640625" style="43" customWidth="1"/>
    <col min="15" max="16" width="13.33203125" style="43" customWidth="1"/>
    <col min="17" max="17" width="8.109375" style="43" customWidth="1"/>
    <col min="18" max="18" width="12.6640625" style="43" customWidth="1"/>
    <col min="19" max="19" width="11.44140625" style="43" customWidth="1"/>
    <col min="20" max="20" width="16.33203125" style="43" customWidth="1"/>
    <col min="21" max="22" width="10.88671875" style="43" customWidth="1"/>
    <col min="23" max="23" width="12.44140625" style="43" customWidth="1"/>
    <col min="24" max="24" width="12.33203125" style="43" customWidth="1"/>
    <col min="25" max="25" width="12.5546875" style="43" customWidth="1"/>
    <col min="26" max="26" width="14.88671875" style="43" customWidth="1"/>
    <col min="27" max="27" width="14.33203125" style="43" customWidth="1"/>
    <col min="28" max="28" width="13.33203125" style="43" customWidth="1"/>
    <col min="29" max="29" width="11.88671875" style="43" customWidth="1"/>
    <col min="30" max="30" width="13.109375" style="43" customWidth="1"/>
    <col min="31" max="31" width="14.33203125" style="43" customWidth="1"/>
    <col min="32" max="32" width="14.44140625" style="43" customWidth="1"/>
    <col min="33" max="33" width="9.6640625" style="43" customWidth="1"/>
    <col min="34" max="34" width="11.44140625" style="43" customWidth="1"/>
    <col min="35" max="35" width="18" style="43" customWidth="1"/>
    <col min="36" max="36" width="8.88671875" style="43" customWidth="1"/>
    <col min="37" max="37" width="12.5546875" style="43" bestFit="1" customWidth="1"/>
    <col min="38" max="38" width="10.88671875" style="43" bestFit="1" customWidth="1"/>
    <col min="39" max="16384" width="8.6640625" style="43"/>
  </cols>
  <sheetData>
    <row r="3" spans="1:8" x14ac:dyDescent="0.25">
      <c r="B3" s="44" t="s">
        <v>24</v>
      </c>
    </row>
    <row r="4" spans="1:8" x14ac:dyDescent="0.25">
      <c r="A4" s="44" t="s">
        <v>39</v>
      </c>
      <c r="B4" s="43" t="s">
        <v>5</v>
      </c>
      <c r="C4" s="43" t="s">
        <v>41</v>
      </c>
      <c r="D4" s="43" t="s">
        <v>45</v>
      </c>
      <c r="E4" s="43" t="s">
        <v>42</v>
      </c>
      <c r="F4" s="43" t="s">
        <v>43</v>
      </c>
      <c r="G4" s="43" t="s">
        <v>44</v>
      </c>
      <c r="H4" s="43" t="s">
        <v>23</v>
      </c>
    </row>
    <row r="5" spans="1:8" x14ac:dyDescent="0.25">
      <c r="A5" s="41" t="s">
        <v>27</v>
      </c>
      <c r="B5" s="42">
        <v>7.75</v>
      </c>
      <c r="C5" s="42">
        <v>2.25</v>
      </c>
      <c r="D5" s="42">
        <v>18</v>
      </c>
      <c r="E5" s="42">
        <v>8</v>
      </c>
      <c r="F5" s="42">
        <v>16</v>
      </c>
      <c r="G5" s="42">
        <v>8</v>
      </c>
      <c r="H5" s="42">
        <v>60</v>
      </c>
    </row>
    <row r="6" spans="1:8" x14ac:dyDescent="0.25">
      <c r="A6" s="41" t="s">
        <v>28</v>
      </c>
      <c r="B6" s="42">
        <v>5.25</v>
      </c>
      <c r="C6" s="42">
        <v>1.5</v>
      </c>
      <c r="D6" s="42">
        <v>13.5</v>
      </c>
      <c r="E6" s="42">
        <v>4.5</v>
      </c>
      <c r="F6" s="42">
        <v>10</v>
      </c>
      <c r="G6" s="42">
        <v>5.25</v>
      </c>
      <c r="H6" s="42">
        <v>40</v>
      </c>
    </row>
    <row r="7" spans="1:8" x14ac:dyDescent="0.25">
      <c r="A7" s="41" t="s">
        <v>29</v>
      </c>
      <c r="B7" s="42">
        <v>6.5</v>
      </c>
      <c r="C7" s="42">
        <v>1.75</v>
      </c>
      <c r="D7" s="42">
        <v>15</v>
      </c>
      <c r="E7" s="42">
        <v>6.25</v>
      </c>
      <c r="F7" s="42">
        <v>13.75</v>
      </c>
      <c r="G7" s="42">
        <v>6.75</v>
      </c>
      <c r="H7" s="42">
        <v>50</v>
      </c>
    </row>
    <row r="8" spans="1:8" x14ac:dyDescent="0.25">
      <c r="A8" s="41" t="s">
        <v>30</v>
      </c>
      <c r="B8" s="42">
        <v>7.75</v>
      </c>
      <c r="C8" s="42">
        <v>2.25</v>
      </c>
      <c r="D8" s="42">
        <v>18</v>
      </c>
      <c r="E8" s="42">
        <v>8</v>
      </c>
      <c r="F8" s="42">
        <v>16</v>
      </c>
      <c r="G8" s="42">
        <v>8</v>
      </c>
      <c r="H8" s="42">
        <v>60</v>
      </c>
    </row>
    <row r="9" spans="1:8" x14ac:dyDescent="0.25">
      <c r="A9" s="41" t="s">
        <v>31</v>
      </c>
      <c r="B9" s="42">
        <v>5.25</v>
      </c>
      <c r="C9" s="42">
        <v>1.5</v>
      </c>
      <c r="D9" s="42">
        <v>13.5</v>
      </c>
      <c r="E9" s="42">
        <v>4.5</v>
      </c>
      <c r="F9" s="42">
        <v>10</v>
      </c>
      <c r="G9" s="42">
        <v>5.25</v>
      </c>
      <c r="H9" s="42">
        <v>40</v>
      </c>
    </row>
    <row r="10" spans="1:8" x14ac:dyDescent="0.25">
      <c r="A10" s="41" t="s">
        <v>32</v>
      </c>
      <c r="B10" s="42">
        <v>6.5</v>
      </c>
      <c r="C10" s="42">
        <v>1.75</v>
      </c>
      <c r="D10" s="42">
        <v>15</v>
      </c>
      <c r="E10" s="42">
        <v>6.25</v>
      </c>
      <c r="F10" s="42">
        <v>13.75</v>
      </c>
      <c r="G10" s="42">
        <v>6.75</v>
      </c>
      <c r="H10" s="42">
        <v>50</v>
      </c>
    </row>
    <row r="11" spans="1:8" x14ac:dyDescent="0.25">
      <c r="A11" s="41" t="s">
        <v>33</v>
      </c>
      <c r="B11" s="42">
        <v>2.5</v>
      </c>
      <c r="C11" s="42">
        <v>0.75</v>
      </c>
      <c r="D11" s="42">
        <v>6</v>
      </c>
      <c r="E11" s="42">
        <v>1.25</v>
      </c>
      <c r="F11" s="42">
        <v>6.75</v>
      </c>
      <c r="G11" s="42">
        <v>2.75</v>
      </c>
      <c r="H11" s="42">
        <v>20</v>
      </c>
    </row>
    <row r="12" spans="1:8" x14ac:dyDescent="0.25">
      <c r="A12" s="41" t="s">
        <v>34</v>
      </c>
      <c r="B12" s="42">
        <v>4</v>
      </c>
      <c r="C12" s="42">
        <v>1</v>
      </c>
      <c r="D12" s="42">
        <v>9</v>
      </c>
      <c r="E12" s="42">
        <v>3</v>
      </c>
      <c r="F12" s="42">
        <v>9</v>
      </c>
      <c r="G12" s="42">
        <v>4</v>
      </c>
      <c r="H12" s="42">
        <v>30</v>
      </c>
    </row>
    <row r="13" spans="1:8" x14ac:dyDescent="0.25">
      <c r="A13" s="41" t="s">
        <v>35</v>
      </c>
      <c r="B13" s="42">
        <v>10.5</v>
      </c>
      <c r="C13" s="42">
        <v>3</v>
      </c>
      <c r="D13" s="42">
        <v>23.5</v>
      </c>
      <c r="E13" s="42">
        <v>11.25</v>
      </c>
      <c r="F13" s="42">
        <v>21</v>
      </c>
      <c r="G13" s="42">
        <v>10.75</v>
      </c>
      <c r="H13" s="42">
        <v>80</v>
      </c>
    </row>
    <row r="14" spans="1:8" x14ac:dyDescent="0.25">
      <c r="A14" s="41" t="s">
        <v>36</v>
      </c>
      <c r="B14" s="42">
        <v>4</v>
      </c>
      <c r="C14" s="42">
        <v>1</v>
      </c>
      <c r="D14" s="42">
        <v>9</v>
      </c>
      <c r="E14" s="42">
        <v>3</v>
      </c>
      <c r="F14" s="42">
        <v>9</v>
      </c>
      <c r="G14" s="42">
        <v>4</v>
      </c>
      <c r="H14" s="42">
        <v>30</v>
      </c>
    </row>
    <row r="15" spans="1:8" x14ac:dyDescent="0.25">
      <c r="A15" s="41" t="s">
        <v>37</v>
      </c>
      <c r="B15" s="42">
        <v>5.25</v>
      </c>
      <c r="C15" s="42">
        <v>1.5</v>
      </c>
      <c r="D15" s="42">
        <v>13.5</v>
      </c>
      <c r="E15" s="42">
        <v>4.5</v>
      </c>
      <c r="F15" s="42">
        <v>10</v>
      </c>
      <c r="G15" s="42">
        <v>5.25</v>
      </c>
      <c r="H15" s="42">
        <v>40</v>
      </c>
    </row>
    <row r="16" spans="1:8" x14ac:dyDescent="0.25">
      <c r="A16" s="41" t="s">
        <v>38</v>
      </c>
      <c r="B16" s="42">
        <v>4</v>
      </c>
      <c r="C16" s="42">
        <v>1</v>
      </c>
      <c r="D16" s="42">
        <v>9</v>
      </c>
      <c r="E16" s="42">
        <v>3</v>
      </c>
      <c r="F16" s="42">
        <v>9</v>
      </c>
      <c r="G16" s="42">
        <v>4</v>
      </c>
      <c r="H16" s="42">
        <v>30</v>
      </c>
    </row>
    <row r="17" spans="1:37" x14ac:dyDescent="0.25">
      <c r="A17" s="41" t="s">
        <v>26</v>
      </c>
      <c r="B17" s="43">
        <f>SUM(B5:B16)</f>
        <v>69.25</v>
      </c>
      <c r="C17" s="43">
        <f t="shared" ref="C17:AK17" si="0">SUM(C5:C16)</f>
        <v>19.25</v>
      </c>
      <c r="D17" s="43">
        <f t="shared" si="0"/>
        <v>163</v>
      </c>
      <c r="E17" s="43">
        <f t="shared" si="0"/>
        <v>63.5</v>
      </c>
      <c r="F17" s="43">
        <f t="shared" si="0"/>
        <v>144.25</v>
      </c>
      <c r="G17" s="43">
        <f t="shared" si="0"/>
        <v>70.75</v>
      </c>
      <c r="H17" s="43">
        <f t="shared" si="0"/>
        <v>530</v>
      </c>
      <c r="I17" s="43">
        <f t="shared" si="0"/>
        <v>0</v>
      </c>
      <c r="J17" s="43">
        <f t="shared" si="0"/>
        <v>0</v>
      </c>
      <c r="K17" s="43">
        <f t="shared" si="0"/>
        <v>0</v>
      </c>
      <c r="L17" s="43">
        <f t="shared" si="0"/>
        <v>0</v>
      </c>
      <c r="M17" s="43">
        <f t="shared" si="0"/>
        <v>0</v>
      </c>
      <c r="N17" s="43">
        <f t="shared" si="0"/>
        <v>0</v>
      </c>
      <c r="O17" s="43">
        <f t="shared" si="0"/>
        <v>0</v>
      </c>
      <c r="P17" s="43">
        <f t="shared" si="0"/>
        <v>0</v>
      </c>
      <c r="Q17" s="43">
        <f t="shared" si="0"/>
        <v>0</v>
      </c>
      <c r="R17" s="43">
        <f t="shared" si="0"/>
        <v>0</v>
      </c>
      <c r="S17" s="43">
        <f t="shared" si="0"/>
        <v>0</v>
      </c>
      <c r="T17" s="43">
        <f t="shared" si="0"/>
        <v>0</v>
      </c>
      <c r="U17" s="43">
        <f t="shared" si="0"/>
        <v>0</v>
      </c>
      <c r="V17" s="43">
        <f t="shared" si="0"/>
        <v>0</v>
      </c>
      <c r="W17" s="43">
        <f t="shared" si="0"/>
        <v>0</v>
      </c>
      <c r="X17" s="43">
        <f t="shared" si="0"/>
        <v>0</v>
      </c>
      <c r="Y17" s="43">
        <f t="shared" si="0"/>
        <v>0</v>
      </c>
      <c r="Z17" s="43">
        <f t="shared" si="0"/>
        <v>0</v>
      </c>
      <c r="AA17" s="43">
        <f t="shared" si="0"/>
        <v>0</v>
      </c>
      <c r="AB17" s="43">
        <f t="shared" si="0"/>
        <v>0</v>
      </c>
      <c r="AC17" s="43">
        <f t="shared" si="0"/>
        <v>0</v>
      </c>
      <c r="AD17" s="43">
        <f t="shared" si="0"/>
        <v>0</v>
      </c>
      <c r="AE17" s="43">
        <f t="shared" si="0"/>
        <v>0</v>
      </c>
      <c r="AF17" s="43">
        <f t="shared" si="0"/>
        <v>0</v>
      </c>
      <c r="AG17" s="43">
        <f t="shared" si="0"/>
        <v>0</v>
      </c>
      <c r="AH17" s="43">
        <f t="shared" si="0"/>
        <v>0</v>
      </c>
      <c r="AI17" s="43">
        <f t="shared" si="0"/>
        <v>0</v>
      </c>
      <c r="AJ17" s="43">
        <f t="shared" si="0"/>
        <v>0</v>
      </c>
      <c r="AK17" s="43">
        <f t="shared" si="0"/>
        <v>0</v>
      </c>
    </row>
    <row r="19" spans="1:37" x14ac:dyDescent="0.25">
      <c r="A19" s="41" t="s">
        <v>40</v>
      </c>
      <c r="B19" s="45">
        <v>0.8</v>
      </c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1"/>
  <sheetViews>
    <sheetView showGridLines="0" showZeros="0" workbookViewId="0">
      <pane xSplit="3" ySplit="2" topLeftCell="D3" activePane="bottomRight" state="frozen"/>
      <selection pane="topRight" activeCell="C1" sqref="C1"/>
      <selection pane="bottomLeft" activeCell="A4" sqref="A4"/>
      <selection pane="bottomRight" activeCell="D3" sqref="D3"/>
    </sheetView>
  </sheetViews>
  <sheetFormatPr defaultColWidth="7.44140625" defaultRowHeight="15" x14ac:dyDescent="0.2"/>
  <cols>
    <col min="1" max="1" width="35.5546875" style="11" bestFit="1" customWidth="1"/>
    <col min="2" max="2" width="28.109375" style="11" bestFit="1" customWidth="1"/>
    <col min="3" max="3" width="10.5546875" style="12" customWidth="1"/>
    <col min="4" max="15" width="8.6640625" style="12" customWidth="1"/>
    <col min="16" max="23" width="6.33203125" style="12" customWidth="1"/>
    <col min="24" max="16384" width="7.44140625" style="12"/>
  </cols>
  <sheetData>
    <row r="1" spans="1:23" s="15" customFormat="1" x14ac:dyDescent="0.2">
      <c r="A1" s="17"/>
      <c r="B1" s="17"/>
      <c r="D1" s="93" t="s">
        <v>26</v>
      </c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3"/>
      <c r="Q1" s="93"/>
      <c r="R1" s="93"/>
      <c r="S1" s="93"/>
      <c r="T1" s="93"/>
      <c r="U1" s="93"/>
      <c r="V1" s="93"/>
      <c r="W1" s="93"/>
    </row>
    <row r="2" spans="1:23" s="15" customFormat="1" x14ac:dyDescent="0.2">
      <c r="A2" s="17" t="s">
        <v>18</v>
      </c>
      <c r="B2" s="17" t="s">
        <v>0</v>
      </c>
      <c r="C2" s="15" t="s">
        <v>16</v>
      </c>
      <c r="D2" s="25">
        <v>42461</v>
      </c>
      <c r="E2" s="25">
        <v>42491</v>
      </c>
      <c r="F2" s="25">
        <v>42522</v>
      </c>
      <c r="G2" s="25">
        <v>42552</v>
      </c>
      <c r="H2" s="25">
        <v>42583</v>
      </c>
      <c r="I2" s="25">
        <v>42614</v>
      </c>
      <c r="J2" s="25">
        <v>42644</v>
      </c>
      <c r="K2" s="25">
        <v>42675</v>
      </c>
      <c r="L2" s="25">
        <v>42705</v>
      </c>
      <c r="M2" s="25">
        <v>42736</v>
      </c>
      <c r="N2" s="25">
        <v>42767</v>
      </c>
      <c r="O2" s="25">
        <v>42795</v>
      </c>
    </row>
    <row r="3" spans="1:23" s="15" customFormat="1" x14ac:dyDescent="0.2">
      <c r="A3" s="19" t="s">
        <v>41</v>
      </c>
      <c r="B3" s="11" t="s">
        <v>1</v>
      </c>
      <c r="C3" s="14">
        <f t="shared" ref="C3:C8" si="0">VLOOKUP(B3,Grades,2)</f>
        <v>1000</v>
      </c>
      <c r="D3" s="23">
        <f>SUMIFS('C01 - Priced Resources'!D$7:D$12,Analysis_Team,$A3)</f>
        <v>2.25</v>
      </c>
      <c r="E3" s="23">
        <f>SUMIFS('C01 - Priced Resources'!E$7:E$12,Analysis_Team,$A3)</f>
        <v>1.5</v>
      </c>
      <c r="F3" s="23">
        <f>SUMIFS('C01 - Priced Resources'!F$7:F$12,Analysis_Team,$A3)</f>
        <v>1.75</v>
      </c>
      <c r="G3" s="23">
        <f>SUMIFS('C01 - Priced Resources'!G$7:G$12,Analysis_Team,$A3)</f>
        <v>2.25</v>
      </c>
      <c r="H3" s="23">
        <f>SUMIFS('C01 - Priced Resources'!H$7:H$12,Analysis_Team,$A3)</f>
        <v>1.5</v>
      </c>
      <c r="I3" s="23">
        <f>SUMIFS('C01 - Priced Resources'!I$7:I$12,Analysis_Team,$A3)</f>
        <v>1.75</v>
      </c>
      <c r="J3" s="23">
        <f>SUMIFS('C01 - Priced Resources'!J$7:J$12,Analysis_Team,$A3)</f>
        <v>0.75</v>
      </c>
      <c r="K3" s="23">
        <f>SUMIFS('C01 - Priced Resources'!K$7:K$12,Analysis_Team,$A3)</f>
        <v>1</v>
      </c>
      <c r="L3" s="23">
        <f>SUMIFS('C01 - Priced Resources'!L$7:L$12,Analysis_Team,$A3)</f>
        <v>3</v>
      </c>
      <c r="M3" s="23">
        <f>SUMIFS('C01 - Priced Resources'!M$7:M$12,Analysis_Team,$A3)</f>
        <v>1</v>
      </c>
      <c r="N3" s="23">
        <f>SUMIFS('C01 - Priced Resources'!N$7:N$12,Analysis_Team,$A3)</f>
        <v>1.5</v>
      </c>
      <c r="O3" s="23">
        <f>SUMIFS('C01 - Priced Resources'!O$7:O$12,Analysis_Team,$A3)</f>
        <v>1</v>
      </c>
    </row>
    <row r="4" spans="1:23" s="15" customFormat="1" x14ac:dyDescent="0.2">
      <c r="A4" s="19" t="s">
        <v>42</v>
      </c>
      <c r="B4" s="11" t="s">
        <v>2</v>
      </c>
      <c r="C4" s="14">
        <f t="shared" si="0"/>
        <v>800</v>
      </c>
      <c r="D4" s="23">
        <f>SUMIFS('C01 - Priced Resources'!D$7:D$12,Analysis_Team,$A4)</f>
        <v>8</v>
      </c>
      <c r="E4" s="23">
        <f>SUMIFS('C01 - Priced Resources'!E$7:E$12,Analysis_Team,$A4)</f>
        <v>4.5</v>
      </c>
      <c r="F4" s="23">
        <f>SUMIFS('C01 - Priced Resources'!F$7:F$12,Analysis_Team,$A4)</f>
        <v>6.25</v>
      </c>
      <c r="G4" s="23">
        <f>SUMIFS('C01 - Priced Resources'!G$7:G$12,Analysis_Team,$A4)</f>
        <v>8</v>
      </c>
      <c r="H4" s="23">
        <f>SUMIFS('C01 - Priced Resources'!H$7:H$12,Analysis_Team,$A4)</f>
        <v>4.5</v>
      </c>
      <c r="I4" s="23">
        <f>SUMIFS('C01 - Priced Resources'!I$7:I$12,Analysis_Team,$A4)</f>
        <v>6.25</v>
      </c>
      <c r="J4" s="23">
        <f>SUMIFS('C01 - Priced Resources'!J$7:J$12,Analysis_Team,$A4)</f>
        <v>1.25</v>
      </c>
      <c r="K4" s="23">
        <f>SUMIFS('C01 - Priced Resources'!K$7:K$12,Analysis_Team,$A4)</f>
        <v>3</v>
      </c>
      <c r="L4" s="23">
        <f>SUMIFS('C01 - Priced Resources'!L$7:L$12,Analysis_Team,$A4)</f>
        <v>11.25</v>
      </c>
      <c r="M4" s="23">
        <f>SUMIFS('C01 - Priced Resources'!M$7:M$12,Analysis_Team,$A4)</f>
        <v>3</v>
      </c>
      <c r="N4" s="23">
        <f>SUMIFS('C01 - Priced Resources'!N$7:N$12,Analysis_Team,$A4)</f>
        <v>4.5</v>
      </c>
      <c r="O4" s="23">
        <f>SUMIFS('C01 - Priced Resources'!O$7:O$12,Analysis_Team,$A4)</f>
        <v>3</v>
      </c>
    </row>
    <row r="5" spans="1:23" s="15" customFormat="1" x14ac:dyDescent="0.2">
      <c r="A5" s="19" t="s">
        <v>43</v>
      </c>
      <c r="B5" s="11" t="s">
        <v>22</v>
      </c>
      <c r="C5" s="14">
        <f t="shared" si="0"/>
        <v>600</v>
      </c>
      <c r="D5" s="23">
        <f>SUMIFS('C01 - Priced Resources'!D$7:D$12,Analysis_Team,$A5)</f>
        <v>16</v>
      </c>
      <c r="E5" s="23">
        <f>SUMIFS('C01 - Priced Resources'!E$7:E$12,Analysis_Team,$A5)</f>
        <v>10</v>
      </c>
      <c r="F5" s="23">
        <f>SUMIFS('C01 - Priced Resources'!F$7:F$12,Analysis_Team,$A5)</f>
        <v>13.75</v>
      </c>
      <c r="G5" s="23">
        <f>SUMIFS('C01 - Priced Resources'!G$7:G$12,Analysis_Team,$A5)</f>
        <v>16</v>
      </c>
      <c r="H5" s="23">
        <f>SUMIFS('C01 - Priced Resources'!H$7:H$12,Analysis_Team,$A5)</f>
        <v>10</v>
      </c>
      <c r="I5" s="23">
        <f>SUMIFS('C01 - Priced Resources'!I$7:I$12,Analysis_Team,$A5)</f>
        <v>13.75</v>
      </c>
      <c r="J5" s="23">
        <f>SUMIFS('C01 - Priced Resources'!J$7:J$12,Analysis_Team,$A5)</f>
        <v>6.75</v>
      </c>
      <c r="K5" s="23">
        <f>SUMIFS('C01 - Priced Resources'!K$7:K$12,Analysis_Team,$A5)</f>
        <v>9</v>
      </c>
      <c r="L5" s="23">
        <f>SUMIFS('C01 - Priced Resources'!L$7:L$12,Analysis_Team,$A5)</f>
        <v>21</v>
      </c>
      <c r="M5" s="23">
        <f>SUMIFS('C01 - Priced Resources'!M$7:M$12,Analysis_Team,$A5)</f>
        <v>9</v>
      </c>
      <c r="N5" s="23">
        <f>SUMIFS('C01 - Priced Resources'!N$7:N$12,Analysis_Team,$A5)</f>
        <v>10</v>
      </c>
      <c r="O5" s="23">
        <f>SUMIFS('C01 - Priced Resources'!O$7:O$12,Analysis_Team,$A5)</f>
        <v>9</v>
      </c>
    </row>
    <row r="6" spans="1:23" s="15" customFormat="1" x14ac:dyDescent="0.2">
      <c r="A6" s="19" t="s">
        <v>44</v>
      </c>
      <c r="B6" s="11" t="s">
        <v>4</v>
      </c>
      <c r="C6" s="14">
        <f t="shared" si="0"/>
        <v>500</v>
      </c>
      <c r="D6" s="23">
        <f>SUMIFS('C01 - Priced Resources'!D$7:D$12,Analysis_Team,$A6)</f>
        <v>8</v>
      </c>
      <c r="E6" s="23">
        <f>SUMIFS('C01 - Priced Resources'!E$7:E$12,Analysis_Team,$A6)</f>
        <v>5.25</v>
      </c>
      <c r="F6" s="23">
        <f>SUMIFS('C01 - Priced Resources'!F$7:F$12,Analysis_Team,$A6)</f>
        <v>6.75</v>
      </c>
      <c r="G6" s="23">
        <f>SUMIFS('C01 - Priced Resources'!G$7:G$12,Analysis_Team,$A6)</f>
        <v>8</v>
      </c>
      <c r="H6" s="23">
        <f>SUMIFS('C01 - Priced Resources'!H$7:H$12,Analysis_Team,$A6)</f>
        <v>5.25</v>
      </c>
      <c r="I6" s="23">
        <f>SUMIFS('C01 - Priced Resources'!I$7:I$12,Analysis_Team,$A6)</f>
        <v>6.75</v>
      </c>
      <c r="J6" s="23">
        <f>SUMIFS('C01 - Priced Resources'!J$7:J$12,Analysis_Team,$A6)</f>
        <v>2.75</v>
      </c>
      <c r="K6" s="23">
        <f>SUMIFS('C01 - Priced Resources'!K$7:K$12,Analysis_Team,$A6)</f>
        <v>4</v>
      </c>
      <c r="L6" s="23">
        <f>SUMIFS('C01 - Priced Resources'!L$7:L$12,Analysis_Team,$A6)</f>
        <v>10.75</v>
      </c>
      <c r="M6" s="23">
        <f>SUMIFS('C01 - Priced Resources'!M$7:M$12,Analysis_Team,$A6)</f>
        <v>4</v>
      </c>
      <c r="N6" s="23">
        <f>SUMIFS('C01 - Priced Resources'!N$7:N$12,Analysis_Team,$A6)</f>
        <v>5.25</v>
      </c>
      <c r="O6" s="23">
        <f>SUMIFS('C01 - Priced Resources'!O$7:O$12,Analysis_Team,$A6)</f>
        <v>4</v>
      </c>
    </row>
    <row r="7" spans="1:23" s="15" customFormat="1" x14ac:dyDescent="0.2">
      <c r="A7" s="19" t="s">
        <v>5</v>
      </c>
      <c r="B7" s="11" t="s">
        <v>5</v>
      </c>
      <c r="C7" s="14">
        <f t="shared" si="0"/>
        <v>400</v>
      </c>
      <c r="D7" s="23">
        <f>SUMIFS('C01 - Priced Resources'!D$7:D$12,Analysis_Team,$A7)</f>
        <v>7.75</v>
      </c>
      <c r="E7" s="23">
        <f>SUMIFS('C01 - Priced Resources'!E$7:E$12,Analysis_Team,$A7)</f>
        <v>5.25</v>
      </c>
      <c r="F7" s="23">
        <f>SUMIFS('C01 - Priced Resources'!F$7:F$12,Analysis_Team,$A7)</f>
        <v>6.5</v>
      </c>
      <c r="G7" s="23">
        <f>SUMIFS('C01 - Priced Resources'!G$7:G$12,Analysis_Team,$A7)</f>
        <v>7.75</v>
      </c>
      <c r="H7" s="23">
        <f>SUMIFS('C01 - Priced Resources'!H$7:H$12,Analysis_Team,$A7)</f>
        <v>5.25</v>
      </c>
      <c r="I7" s="23">
        <f>SUMIFS('C01 - Priced Resources'!I$7:I$12,Analysis_Team,$A7)</f>
        <v>6.5</v>
      </c>
      <c r="J7" s="23">
        <f>SUMIFS('C01 - Priced Resources'!J$7:J$12,Analysis_Team,$A7)</f>
        <v>2.5</v>
      </c>
      <c r="K7" s="23">
        <f>SUMIFS('C01 - Priced Resources'!K$7:K$12,Analysis_Team,$A7)</f>
        <v>4</v>
      </c>
      <c r="L7" s="23">
        <f>SUMIFS('C01 - Priced Resources'!L$7:L$12,Analysis_Team,$A7)</f>
        <v>10.5</v>
      </c>
      <c r="M7" s="23">
        <f>SUMIFS('C01 - Priced Resources'!M$7:M$12,Analysis_Team,$A7)</f>
        <v>4</v>
      </c>
      <c r="N7" s="23">
        <f>SUMIFS('C01 - Priced Resources'!N$7:N$12,Analysis_Team,$A7)</f>
        <v>5.25</v>
      </c>
      <c r="O7" s="23">
        <f>SUMIFS('C01 - Priced Resources'!O$7:O$12,Analysis_Team,$A7)</f>
        <v>4</v>
      </c>
    </row>
    <row r="8" spans="1:23" s="15" customFormat="1" x14ac:dyDescent="0.2">
      <c r="A8" s="19" t="s">
        <v>45</v>
      </c>
      <c r="B8" s="11" t="s">
        <v>6</v>
      </c>
      <c r="C8" s="14">
        <f t="shared" si="0"/>
        <v>300</v>
      </c>
      <c r="D8" s="23">
        <f>SUMIFS('C01 - Priced Resources'!D$7:D$12,Analysis_Team,$A8)</f>
        <v>18</v>
      </c>
      <c r="E8" s="23">
        <f>SUMIFS('C01 - Priced Resources'!E$7:E$12,Analysis_Team,$A8)</f>
        <v>13.5</v>
      </c>
      <c r="F8" s="23">
        <f>SUMIFS('C01 - Priced Resources'!F$7:F$12,Analysis_Team,$A8)</f>
        <v>15</v>
      </c>
      <c r="G8" s="23">
        <f>SUMIFS('C01 - Priced Resources'!G$7:G$12,Analysis_Team,$A8)</f>
        <v>18</v>
      </c>
      <c r="H8" s="23">
        <f>SUMIFS('C01 - Priced Resources'!H$7:H$12,Analysis_Team,$A8)</f>
        <v>13.5</v>
      </c>
      <c r="I8" s="23">
        <f>SUMIFS('C01 - Priced Resources'!I$7:I$12,Analysis_Team,$A8)</f>
        <v>15</v>
      </c>
      <c r="J8" s="23">
        <f>SUMIFS('C01 - Priced Resources'!J$7:J$12,Analysis_Team,$A8)</f>
        <v>6</v>
      </c>
      <c r="K8" s="23">
        <f>SUMIFS('C01 - Priced Resources'!K$7:K$12,Analysis_Team,$A8)</f>
        <v>9</v>
      </c>
      <c r="L8" s="23">
        <f>SUMIFS('C01 - Priced Resources'!L$7:L$12,Analysis_Team,$A8)</f>
        <v>23.5</v>
      </c>
      <c r="M8" s="23">
        <f>SUMIFS('C01 - Priced Resources'!M$7:M$12,Analysis_Team,$A8)</f>
        <v>9</v>
      </c>
      <c r="N8" s="23">
        <f>SUMIFS('C01 - Priced Resources'!N$7:N$12,Analysis_Team,$A8)</f>
        <v>13.5</v>
      </c>
      <c r="O8" s="23">
        <f>SUMIFS('C01 - Priced Resources'!O$7:O$12,Analysis_Team,$A8)</f>
        <v>9</v>
      </c>
    </row>
    <row r="16" spans="1:23" x14ac:dyDescent="0.2">
      <c r="A16" s="12"/>
    </row>
    <row r="17" spans="1:1" x14ac:dyDescent="0.2">
      <c r="A17" s="12"/>
    </row>
    <row r="18" spans="1:1" x14ac:dyDescent="0.2">
      <c r="A18" s="12"/>
    </row>
    <row r="19" spans="1:1" x14ac:dyDescent="0.2">
      <c r="A19" s="12"/>
    </row>
    <row r="20" spans="1:1" x14ac:dyDescent="0.2">
      <c r="A20" s="12"/>
    </row>
    <row r="21" spans="1:1" x14ac:dyDescent="0.2">
      <c r="A21" s="12"/>
    </row>
    <row r="22" spans="1:1" x14ac:dyDescent="0.2">
      <c r="A22" s="12"/>
    </row>
    <row r="23" spans="1:1" x14ac:dyDescent="0.2">
      <c r="A23" s="12"/>
    </row>
    <row r="24" spans="1:1" x14ac:dyDescent="0.2">
      <c r="A24" s="12"/>
    </row>
    <row r="25" spans="1:1" x14ac:dyDescent="0.2">
      <c r="A25" s="12"/>
    </row>
    <row r="26" spans="1:1" x14ac:dyDescent="0.2">
      <c r="A26" s="12"/>
    </row>
    <row r="27" spans="1:1" x14ac:dyDescent="0.2">
      <c r="A27" s="12"/>
    </row>
    <row r="28" spans="1:1" x14ac:dyDescent="0.2">
      <c r="A28" s="12"/>
    </row>
    <row r="29" spans="1:1" x14ac:dyDescent="0.2">
      <c r="A29" s="12"/>
    </row>
    <row r="30" spans="1:1" x14ac:dyDescent="0.2">
      <c r="A30" s="12"/>
    </row>
    <row r="31" spans="1:1" x14ac:dyDescent="0.2">
      <c r="A31" s="12"/>
    </row>
    <row r="32" spans="1:1" x14ac:dyDescent="0.2">
      <c r="A32" s="12"/>
    </row>
    <row r="33" spans="1:1" x14ac:dyDescent="0.2">
      <c r="A33" s="12"/>
    </row>
    <row r="34" spans="1:1" x14ac:dyDescent="0.2">
      <c r="A34" s="12"/>
    </row>
    <row r="35" spans="1:1" x14ac:dyDescent="0.2">
      <c r="A35" s="12"/>
    </row>
    <row r="36" spans="1:1" x14ac:dyDescent="0.2">
      <c r="A36" s="12"/>
    </row>
    <row r="37" spans="1:1" x14ac:dyDescent="0.2">
      <c r="A37" s="12"/>
    </row>
    <row r="38" spans="1:1" x14ac:dyDescent="0.2">
      <c r="A38" s="12"/>
    </row>
    <row r="39" spans="1:1" x14ac:dyDescent="0.2">
      <c r="A39" s="12"/>
    </row>
    <row r="40" spans="1:1" x14ac:dyDescent="0.2">
      <c r="A40" s="12"/>
    </row>
    <row r="41" spans="1:1" x14ac:dyDescent="0.2">
      <c r="A41" s="12"/>
    </row>
    <row r="42" spans="1:1" x14ac:dyDescent="0.2">
      <c r="A42" s="12"/>
    </row>
    <row r="43" spans="1:1" x14ac:dyDescent="0.2">
      <c r="A43" s="12"/>
    </row>
    <row r="44" spans="1:1" x14ac:dyDescent="0.2">
      <c r="A44" s="12"/>
    </row>
    <row r="45" spans="1:1" x14ac:dyDescent="0.2">
      <c r="A45" s="12"/>
    </row>
    <row r="46" spans="1:1" x14ac:dyDescent="0.2">
      <c r="A46" s="12"/>
    </row>
    <row r="47" spans="1:1" x14ac:dyDescent="0.2">
      <c r="A47" s="12"/>
    </row>
    <row r="48" spans="1:1" x14ac:dyDescent="0.2">
      <c r="A48" s="12"/>
    </row>
    <row r="49" spans="1:1" x14ac:dyDescent="0.2">
      <c r="A49" s="12"/>
    </row>
    <row r="50" spans="1:1" x14ac:dyDescent="0.2">
      <c r="A50" s="12"/>
    </row>
    <row r="51" spans="1:1" x14ac:dyDescent="0.2">
      <c r="A51" s="12"/>
    </row>
  </sheetData>
  <sortState ref="A45:A84">
    <sortCondition ref="A45"/>
  </sortState>
  <mergeCells count="2">
    <mergeCell ref="P1:W1"/>
    <mergeCell ref="D1:O1"/>
  </mergeCells>
  <pageMargins left="0.70866141732283472" right="0.70866141732283472" top="0.74803149606299213" bottom="0.74803149606299213" header="0.31496062992125984" footer="0.31496062992125984"/>
  <pageSetup paperSize="8" scale="31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B10" sqref="B10"/>
    </sheetView>
  </sheetViews>
  <sheetFormatPr defaultColWidth="11.5546875" defaultRowHeight="18.75" x14ac:dyDescent="0.3"/>
  <cols>
    <col min="1" max="1" width="47" style="1" customWidth="1"/>
    <col min="2" max="2" width="13.5546875" style="1" customWidth="1"/>
    <col min="3" max="3" width="11.5546875" style="1"/>
    <col min="4" max="5" width="12.109375" style="1" customWidth="1"/>
    <col min="6" max="16384" width="11.5546875" style="1"/>
  </cols>
  <sheetData>
    <row r="1" spans="1:10" ht="27.95" customHeight="1" x14ac:dyDescent="0.3">
      <c r="A1" s="103" t="s">
        <v>66</v>
      </c>
      <c r="B1" s="104"/>
      <c r="C1" s="104"/>
      <c r="D1" s="104"/>
      <c r="E1" s="104"/>
      <c r="F1" s="104"/>
    </row>
    <row r="2" spans="1:10" ht="93.75" x14ac:dyDescent="0.3">
      <c r="A2" s="2" t="s">
        <v>0</v>
      </c>
      <c r="B2" s="3" t="s">
        <v>67</v>
      </c>
      <c r="C2" s="3" t="s">
        <v>49</v>
      </c>
      <c r="D2" s="3" t="s">
        <v>68</v>
      </c>
      <c r="E2" s="3" t="s">
        <v>69</v>
      </c>
      <c r="F2" s="3" t="s">
        <v>70</v>
      </c>
    </row>
    <row r="3" spans="1:10" x14ac:dyDescent="0.3">
      <c r="A3" s="61" t="s">
        <v>1</v>
      </c>
      <c r="B3" s="90">
        <v>26</v>
      </c>
      <c r="C3" s="62">
        <f>B3/$B$9</f>
        <v>4.9056603773584909E-2</v>
      </c>
      <c r="D3" s="63" t="s">
        <v>7</v>
      </c>
      <c r="E3" s="64">
        <v>1000</v>
      </c>
      <c r="F3" s="65">
        <f>IFERROR(B3*E3,"tbc")</f>
        <v>26000</v>
      </c>
    </row>
    <row r="4" spans="1:10" x14ac:dyDescent="0.3">
      <c r="A4" s="61" t="s">
        <v>2</v>
      </c>
      <c r="B4" s="90">
        <v>42</v>
      </c>
      <c r="C4" s="62">
        <f t="shared" ref="C4:C8" si="0">B4/$B$9</f>
        <v>7.9245283018867921E-2</v>
      </c>
      <c r="D4" s="63" t="s">
        <v>7</v>
      </c>
      <c r="E4" s="64">
        <v>800</v>
      </c>
      <c r="F4" s="65">
        <f t="shared" ref="F4:F8" si="1">IFERROR(B4*E4,"tbc")</f>
        <v>33600</v>
      </c>
    </row>
    <row r="5" spans="1:10" x14ac:dyDescent="0.3">
      <c r="A5" s="61" t="s">
        <v>3</v>
      </c>
      <c r="B5" s="90">
        <v>69</v>
      </c>
      <c r="C5" s="62">
        <f t="shared" si="0"/>
        <v>0.13018867924528302</v>
      </c>
      <c r="D5" s="63" t="s">
        <v>7</v>
      </c>
      <c r="E5" s="64">
        <v>600</v>
      </c>
      <c r="F5" s="65">
        <f t="shared" si="1"/>
        <v>41400</v>
      </c>
    </row>
    <row r="6" spans="1:10" x14ac:dyDescent="0.3">
      <c r="A6" s="61" t="s">
        <v>4</v>
      </c>
      <c r="B6" s="90">
        <v>58</v>
      </c>
      <c r="C6" s="62">
        <f t="shared" si="0"/>
        <v>0.10943396226415095</v>
      </c>
      <c r="D6" s="63" t="s">
        <v>7</v>
      </c>
      <c r="E6" s="64">
        <v>500</v>
      </c>
      <c r="F6" s="65">
        <f t="shared" si="1"/>
        <v>29000</v>
      </c>
    </row>
    <row r="7" spans="1:10" x14ac:dyDescent="0.3">
      <c r="A7" s="61" t="s">
        <v>5</v>
      </c>
      <c r="B7" s="90">
        <v>85</v>
      </c>
      <c r="C7" s="62">
        <f t="shared" si="0"/>
        <v>0.16037735849056603</v>
      </c>
      <c r="D7" s="63" t="s">
        <v>7</v>
      </c>
      <c r="E7" s="64">
        <v>400</v>
      </c>
      <c r="F7" s="65">
        <f t="shared" si="1"/>
        <v>34000</v>
      </c>
    </row>
    <row r="8" spans="1:10" x14ac:dyDescent="0.3">
      <c r="A8" s="61" t="s">
        <v>6</v>
      </c>
      <c r="B8" s="90">
        <v>250</v>
      </c>
      <c r="C8" s="62">
        <f t="shared" si="0"/>
        <v>0.47169811320754718</v>
      </c>
      <c r="D8" s="63" t="s">
        <v>7</v>
      </c>
      <c r="E8" s="64">
        <v>300</v>
      </c>
      <c r="F8" s="65">
        <f t="shared" si="1"/>
        <v>75000</v>
      </c>
    </row>
    <row r="9" spans="1:10" ht="19.5" thickBot="1" x14ac:dyDescent="0.35">
      <c r="A9" s="66" t="s">
        <v>71</v>
      </c>
      <c r="B9" s="67">
        <f>SUM(B3:B8)</f>
        <v>530</v>
      </c>
      <c r="C9" s="68">
        <f>SUM(C3:C8)</f>
        <v>1</v>
      </c>
      <c r="D9" s="105"/>
      <c r="E9" s="105"/>
      <c r="F9" s="105"/>
      <c r="H9" s="69"/>
    </row>
    <row r="10" spans="1:10" ht="15.95" customHeight="1" thickBot="1" x14ac:dyDescent="0.35">
      <c r="A10" s="70"/>
      <c r="B10" s="70"/>
      <c r="C10" s="71"/>
      <c r="D10" s="106" t="s">
        <v>72</v>
      </c>
      <c r="E10" s="107"/>
      <c r="F10" s="72">
        <f>SUM(F3:F8)</f>
        <v>239000</v>
      </c>
    </row>
    <row r="12" spans="1:10" x14ac:dyDescent="0.3">
      <c r="A12" s="1" t="s">
        <v>8</v>
      </c>
      <c r="J12" s="73"/>
    </row>
    <row r="13" spans="1:10" x14ac:dyDescent="0.3">
      <c r="F13" s="74"/>
      <c r="G13" s="73"/>
    </row>
    <row r="14" spans="1:10" x14ac:dyDescent="0.3">
      <c r="A14" s="7" t="s">
        <v>9</v>
      </c>
      <c r="B14" s="7" t="s">
        <v>14</v>
      </c>
    </row>
    <row r="15" spans="1:10" x14ac:dyDescent="0.3">
      <c r="A15" s="1" t="s">
        <v>1</v>
      </c>
      <c r="B15" s="1" t="s">
        <v>7</v>
      </c>
      <c r="E15" s="5" t="str">
        <f t="shared" ref="E15:E20" si="2">IFERROR(B15*E3,"tbc")</f>
        <v>tbc</v>
      </c>
    </row>
    <row r="16" spans="1:10" x14ac:dyDescent="0.3">
      <c r="A16" s="1" t="s">
        <v>2</v>
      </c>
      <c r="B16" s="1" t="s">
        <v>7</v>
      </c>
      <c r="E16" s="5" t="str">
        <f t="shared" si="2"/>
        <v>tbc</v>
      </c>
    </row>
    <row r="17" spans="1:8" x14ac:dyDescent="0.3">
      <c r="A17" s="1" t="s">
        <v>3</v>
      </c>
      <c r="B17" s="1" t="s">
        <v>7</v>
      </c>
      <c r="E17" s="5" t="str">
        <f t="shared" si="2"/>
        <v>tbc</v>
      </c>
    </row>
    <row r="18" spans="1:8" x14ac:dyDescent="0.3">
      <c r="A18" s="1" t="s">
        <v>4</v>
      </c>
      <c r="B18" s="1" t="s">
        <v>7</v>
      </c>
      <c r="E18" s="5" t="str">
        <f t="shared" si="2"/>
        <v>tbc</v>
      </c>
    </row>
    <row r="19" spans="1:8" x14ac:dyDescent="0.3">
      <c r="A19" s="1" t="s">
        <v>5</v>
      </c>
      <c r="B19" s="1" t="s">
        <v>7</v>
      </c>
      <c r="E19" s="5" t="str">
        <f t="shared" si="2"/>
        <v>tbc</v>
      </c>
    </row>
    <row r="20" spans="1:8" x14ac:dyDescent="0.3">
      <c r="A20" s="1" t="s">
        <v>6</v>
      </c>
      <c r="B20" s="1" t="s">
        <v>7</v>
      </c>
      <c r="E20" s="5" t="str">
        <f t="shared" si="2"/>
        <v>tbc</v>
      </c>
    </row>
    <row r="22" spans="1:8" x14ac:dyDescent="0.3">
      <c r="A22" s="1" t="s">
        <v>10</v>
      </c>
      <c r="E22" s="5">
        <f>SUM(E15:E20)</f>
        <v>0</v>
      </c>
      <c r="F22" s="5">
        <f>F10-E22</f>
        <v>239000</v>
      </c>
    </row>
    <row r="23" spans="1:8" x14ac:dyDescent="0.3">
      <c r="E23" s="5"/>
      <c r="F23" s="5"/>
    </row>
    <row r="24" spans="1:8" x14ac:dyDescent="0.3">
      <c r="A24" s="1" t="s">
        <v>90</v>
      </c>
      <c r="E24" s="6">
        <v>0</v>
      </c>
      <c r="F24" s="5">
        <f>F22*E24</f>
        <v>0</v>
      </c>
    </row>
    <row r="25" spans="1:8" x14ac:dyDescent="0.3">
      <c r="F25" s="5"/>
    </row>
    <row r="26" spans="1:8" x14ac:dyDescent="0.3">
      <c r="A26" s="1" t="s">
        <v>91</v>
      </c>
      <c r="F26" s="5">
        <f>F22-F24</f>
        <v>239000</v>
      </c>
      <c r="G26" s="75">
        <f>F26-Target</f>
        <v>-1000</v>
      </c>
    </row>
    <row r="27" spans="1:8" x14ac:dyDescent="0.3">
      <c r="F27" s="5"/>
      <c r="G27" s="75"/>
    </row>
    <row r="28" spans="1:8" x14ac:dyDescent="0.3">
      <c r="A28" s="76" t="s">
        <v>64</v>
      </c>
      <c r="F28" s="77">
        <f>IF(G26&lt;=0,Maximum_Score,IF(F26&gt;UpperLimit,"",Maximum_Score-INT(Weighting*(LOG10(((F26-Target)/Range)*100)))))</f>
        <v>15</v>
      </c>
      <c r="H28" s="77"/>
    </row>
  </sheetData>
  <sheetProtection selectLockedCells="1"/>
  <mergeCells count="3">
    <mergeCell ref="A1:F1"/>
    <mergeCell ref="D9:F9"/>
    <mergeCell ref="D10:E10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3" sqref="A3"/>
    </sheetView>
  </sheetViews>
  <sheetFormatPr defaultColWidth="11.5546875" defaultRowHeight="18.75" x14ac:dyDescent="0.3"/>
  <cols>
    <col min="1" max="1" width="47" style="1" customWidth="1"/>
    <col min="2" max="2" width="13.5546875" style="1" customWidth="1"/>
    <col min="3" max="3" width="11.5546875" style="1"/>
    <col min="4" max="5" width="12.109375" style="1" customWidth="1"/>
    <col min="6" max="16384" width="11.5546875" style="1"/>
  </cols>
  <sheetData>
    <row r="1" spans="1:8" ht="27.95" customHeight="1" x14ac:dyDescent="0.3">
      <c r="A1" s="103" t="s">
        <v>66</v>
      </c>
      <c r="B1" s="104"/>
      <c r="C1" s="104"/>
      <c r="D1" s="104"/>
      <c r="E1" s="104"/>
      <c r="F1" s="104"/>
    </row>
    <row r="2" spans="1:8" ht="93.75" x14ac:dyDescent="0.3">
      <c r="A2" s="2" t="s">
        <v>0</v>
      </c>
      <c r="B2" s="3" t="s">
        <v>67</v>
      </c>
      <c r="C2" s="3" t="s">
        <v>49</v>
      </c>
      <c r="D2" s="3" t="s">
        <v>68</v>
      </c>
      <c r="E2" s="3" t="s">
        <v>69</v>
      </c>
      <c r="F2" s="3" t="s">
        <v>70</v>
      </c>
    </row>
    <row r="3" spans="1:8" x14ac:dyDescent="0.3">
      <c r="A3" s="61" t="s">
        <v>1</v>
      </c>
      <c r="B3" s="90">
        <v>27</v>
      </c>
      <c r="C3" s="62">
        <f>B3/$B$9</f>
        <v>5.0943396226415097E-2</v>
      </c>
      <c r="D3" s="63" t="s">
        <v>7</v>
      </c>
      <c r="E3" s="64">
        <v>1100</v>
      </c>
      <c r="F3" s="65">
        <f>IFERROR(B3*E3,"tbc")</f>
        <v>29700</v>
      </c>
    </row>
    <row r="4" spans="1:8" x14ac:dyDescent="0.3">
      <c r="A4" s="61" t="s">
        <v>2</v>
      </c>
      <c r="B4" s="90">
        <v>42</v>
      </c>
      <c r="C4" s="62">
        <f t="shared" ref="C4:C8" si="0">B4/$B$9</f>
        <v>7.9245283018867921E-2</v>
      </c>
      <c r="D4" s="63" t="s">
        <v>7</v>
      </c>
      <c r="E4" s="64">
        <v>850</v>
      </c>
      <c r="F4" s="65">
        <f t="shared" ref="F4:F8" si="1">IFERROR(B4*E4,"tbc")</f>
        <v>35700</v>
      </c>
    </row>
    <row r="5" spans="1:8" x14ac:dyDescent="0.3">
      <c r="A5" s="61" t="s">
        <v>3</v>
      </c>
      <c r="B5" s="90">
        <v>70</v>
      </c>
      <c r="C5" s="62">
        <f t="shared" si="0"/>
        <v>0.13207547169811321</v>
      </c>
      <c r="D5" s="63" t="s">
        <v>7</v>
      </c>
      <c r="E5" s="64">
        <v>725</v>
      </c>
      <c r="F5" s="65">
        <f t="shared" si="1"/>
        <v>50750</v>
      </c>
    </row>
    <row r="6" spans="1:8" x14ac:dyDescent="0.3">
      <c r="A6" s="61" t="s">
        <v>4</v>
      </c>
      <c r="B6" s="90">
        <v>58</v>
      </c>
      <c r="C6" s="62">
        <f t="shared" si="0"/>
        <v>0.10943396226415095</v>
      </c>
      <c r="D6" s="63" t="s">
        <v>7</v>
      </c>
      <c r="E6" s="64">
        <v>595</v>
      </c>
      <c r="F6" s="65">
        <f t="shared" si="1"/>
        <v>34510</v>
      </c>
    </row>
    <row r="7" spans="1:8" x14ac:dyDescent="0.3">
      <c r="A7" s="61" t="s">
        <v>5</v>
      </c>
      <c r="B7" s="90">
        <v>84</v>
      </c>
      <c r="C7" s="62">
        <f t="shared" si="0"/>
        <v>0.15849056603773584</v>
      </c>
      <c r="D7" s="63" t="s">
        <v>7</v>
      </c>
      <c r="E7" s="64">
        <v>525</v>
      </c>
      <c r="F7" s="65">
        <f t="shared" si="1"/>
        <v>44100</v>
      </c>
    </row>
    <row r="8" spans="1:8" x14ac:dyDescent="0.3">
      <c r="A8" s="61" t="s">
        <v>6</v>
      </c>
      <c r="B8" s="90">
        <v>249</v>
      </c>
      <c r="C8" s="62">
        <f t="shared" si="0"/>
        <v>0.46981132075471699</v>
      </c>
      <c r="D8" s="63" t="s">
        <v>7</v>
      </c>
      <c r="E8" s="64">
        <v>400</v>
      </c>
      <c r="F8" s="65">
        <f t="shared" si="1"/>
        <v>99600</v>
      </c>
    </row>
    <row r="9" spans="1:8" ht="19.5" thickBot="1" x14ac:dyDescent="0.35">
      <c r="A9" s="66" t="s">
        <v>71</v>
      </c>
      <c r="B9" s="67">
        <f>SUM(B3:B8)</f>
        <v>530</v>
      </c>
      <c r="C9" s="68">
        <f>SUM(C3:C8)</f>
        <v>1</v>
      </c>
      <c r="D9" s="105"/>
      <c r="E9" s="105"/>
      <c r="F9" s="105"/>
      <c r="H9" s="69"/>
    </row>
    <row r="10" spans="1:8" ht="15.95" customHeight="1" thickBot="1" x14ac:dyDescent="0.35">
      <c r="A10" s="70"/>
      <c r="B10" s="70"/>
      <c r="C10" s="71"/>
      <c r="D10" s="106" t="s">
        <v>72</v>
      </c>
      <c r="E10" s="107"/>
      <c r="F10" s="72">
        <f>SUM(F3:F8)</f>
        <v>294360</v>
      </c>
      <c r="G10" s="75"/>
      <c r="H10" s="73"/>
    </row>
    <row r="11" spans="1:8" x14ac:dyDescent="0.3">
      <c r="G11" s="75"/>
    </row>
    <row r="12" spans="1:8" x14ac:dyDescent="0.3">
      <c r="A12" s="1" t="s">
        <v>8</v>
      </c>
      <c r="F12" s="74"/>
      <c r="G12" s="75"/>
      <c r="H12" s="73"/>
    </row>
    <row r="13" spans="1:8" x14ac:dyDescent="0.3">
      <c r="F13" s="74"/>
      <c r="G13" s="73"/>
      <c r="H13" s="73"/>
    </row>
    <row r="14" spans="1:8" x14ac:dyDescent="0.3">
      <c r="A14" s="7" t="s">
        <v>9</v>
      </c>
      <c r="B14" s="7" t="s">
        <v>14</v>
      </c>
    </row>
    <row r="15" spans="1:8" x14ac:dyDescent="0.3">
      <c r="A15" s="1" t="s">
        <v>1</v>
      </c>
      <c r="B15" s="1" t="s">
        <v>7</v>
      </c>
      <c r="E15" s="5" t="str">
        <f t="shared" ref="E15:E20" si="2">IFERROR(B15*E3,"tbc")</f>
        <v>tbc</v>
      </c>
    </row>
    <row r="16" spans="1:8" x14ac:dyDescent="0.3">
      <c r="A16" s="1" t="s">
        <v>2</v>
      </c>
      <c r="B16" s="1" t="s">
        <v>7</v>
      </c>
      <c r="E16" s="5" t="str">
        <f t="shared" si="2"/>
        <v>tbc</v>
      </c>
    </row>
    <row r="17" spans="1:8" x14ac:dyDescent="0.3">
      <c r="A17" s="1" t="s">
        <v>3</v>
      </c>
      <c r="B17" s="1" t="s">
        <v>7</v>
      </c>
      <c r="E17" s="5" t="str">
        <f t="shared" si="2"/>
        <v>tbc</v>
      </c>
    </row>
    <row r="18" spans="1:8" x14ac:dyDescent="0.3">
      <c r="A18" s="1" t="s">
        <v>4</v>
      </c>
      <c r="B18" s="1" t="s">
        <v>7</v>
      </c>
      <c r="E18" s="5" t="str">
        <f t="shared" si="2"/>
        <v>tbc</v>
      </c>
    </row>
    <row r="19" spans="1:8" x14ac:dyDescent="0.3">
      <c r="A19" s="1" t="s">
        <v>5</v>
      </c>
      <c r="B19" s="1" t="s">
        <v>7</v>
      </c>
      <c r="E19" s="5" t="str">
        <f t="shared" si="2"/>
        <v>tbc</v>
      </c>
    </row>
    <row r="20" spans="1:8" x14ac:dyDescent="0.3">
      <c r="A20" s="1" t="s">
        <v>6</v>
      </c>
      <c r="B20" s="1" t="s">
        <v>7</v>
      </c>
      <c r="E20" s="5" t="str">
        <f t="shared" si="2"/>
        <v>tbc</v>
      </c>
    </row>
    <row r="22" spans="1:8" x14ac:dyDescent="0.3">
      <c r="A22" s="1" t="s">
        <v>10</v>
      </c>
      <c r="E22" s="5">
        <f>SUM(E15:E20)</f>
        <v>0</v>
      </c>
      <c r="F22" s="5">
        <f>F10-E22</f>
        <v>294360</v>
      </c>
    </row>
    <row r="23" spans="1:8" x14ac:dyDescent="0.3">
      <c r="E23" s="5"/>
      <c r="F23" s="5"/>
    </row>
    <row r="24" spans="1:8" x14ac:dyDescent="0.3">
      <c r="A24" s="1" t="s">
        <v>90</v>
      </c>
      <c r="E24" s="6">
        <v>0</v>
      </c>
      <c r="F24" s="5">
        <f>F22*E24</f>
        <v>0</v>
      </c>
    </row>
    <row r="25" spans="1:8" x14ac:dyDescent="0.3">
      <c r="F25" s="5"/>
    </row>
    <row r="26" spans="1:8" x14ac:dyDescent="0.3">
      <c r="A26" s="1" t="s">
        <v>91</v>
      </c>
      <c r="F26" s="5">
        <f>F22-F24</f>
        <v>294360</v>
      </c>
      <c r="G26" s="75">
        <f>F26-Target</f>
        <v>54360</v>
      </c>
    </row>
    <row r="27" spans="1:8" x14ac:dyDescent="0.3">
      <c r="F27" s="5"/>
      <c r="G27" s="75"/>
    </row>
    <row r="28" spans="1:8" x14ac:dyDescent="0.3">
      <c r="A28" s="76" t="s">
        <v>64</v>
      </c>
      <c r="F28" s="77">
        <f>IF(G26&lt;=0,Maximum_Score,IF(F26&gt;UpperLimit,"",Maximum_Score-INT(Weighting*(LOG10(((F26-Target)/Range)*100)))))</f>
        <v>2</v>
      </c>
      <c r="H28" s="77"/>
    </row>
  </sheetData>
  <sheetProtection selectLockedCells="1"/>
  <mergeCells count="3">
    <mergeCell ref="A1:F1"/>
    <mergeCell ref="D9:F9"/>
    <mergeCell ref="D10:E10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26" baseType="lpstr">
      <vt:lpstr>Cover</vt:lpstr>
      <vt:lpstr>T06b - Unpriced Resources</vt:lpstr>
      <vt:lpstr>C01 - Priced Resources</vt:lpstr>
      <vt:lpstr>C02 - Model Audit Team</vt:lpstr>
      <vt:lpstr>Day Rates per Grade</vt:lpstr>
      <vt:lpstr>First Year Resources</vt:lpstr>
      <vt:lpstr>Total Resources</vt:lpstr>
      <vt:lpstr>Example Day Rates (1)</vt:lpstr>
      <vt:lpstr>Example Day Rates (2)</vt:lpstr>
      <vt:lpstr>Example Day Rates (3)</vt:lpstr>
      <vt:lpstr>Calculate Commercial Score</vt:lpstr>
      <vt:lpstr>Audit Services Score</vt:lpstr>
      <vt:lpstr>Savings Score</vt:lpstr>
      <vt:lpstr>Named Ranges</vt:lpstr>
      <vt:lpstr>Commercial Graph</vt:lpstr>
      <vt:lpstr>'T06b - Unpriced Resources'!Analysis_Team</vt:lpstr>
      <vt:lpstr>Analysis_Team</vt:lpstr>
      <vt:lpstr>First</vt:lpstr>
      <vt:lpstr>Grades</vt:lpstr>
      <vt:lpstr>lowestPrice</vt:lpstr>
      <vt:lpstr>Maximum_Score</vt:lpstr>
      <vt:lpstr>Range</vt:lpstr>
      <vt:lpstr>Review</vt:lpstr>
      <vt:lpstr>Target</vt:lpstr>
      <vt:lpstr>UpperLimit</vt:lpstr>
      <vt:lpstr>Weighting</vt:lpstr>
    </vt:vector>
  </TitlesOfParts>
  <Company>High Speed Two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 vanHaeften</dc:creator>
  <cp:lastModifiedBy>Bernard vanHaeften</cp:lastModifiedBy>
  <cp:lastPrinted>2016-01-07T09:18:01Z</cp:lastPrinted>
  <dcterms:created xsi:type="dcterms:W3CDTF">2015-01-06T09:10:35Z</dcterms:created>
  <dcterms:modified xsi:type="dcterms:W3CDTF">2016-03-02T08:59:07Z</dcterms:modified>
</cp:coreProperties>
</file>