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updateLinks="never" defaultThemeVersion="166925"/>
  <mc:AlternateContent xmlns:mc="http://schemas.openxmlformats.org/markup-compatibility/2006">
    <mc:Choice Requires="x15">
      <x15ac:absPath xmlns:x15ac="http://schemas.microsoft.com/office/spreadsheetml/2010/11/ac" url="https://defra-my.sharepoint.com/personal/nick_underwood_naturalengland_org_uk/Documents/Admin/Contracts Finder &amp; Register/harry/"/>
    </mc:Choice>
  </mc:AlternateContent>
  <xr:revisionPtr revIDLastSave="0" documentId="8_{2A45A686-EA85-4ABA-B5E6-60D38FE6162F}" xr6:coauthVersionLast="47" xr6:coauthVersionMax="47" xr10:uidLastSave="{00000000-0000-0000-0000-000000000000}"/>
  <workbookProtection workbookAlgorithmName="SHA-512" workbookHashValue="bETFfGZMjZ0I4SK7lo/IHFJsa5ctLN8GW8IP6VGIGdHS1TFbjj00QMU4/qEgf/e6RoQzrudGbOwLCtOIG1h68Q==" workbookSaltValue="EbvIH0GxZ3iNKdis56vmGw==" workbookSpinCount="100000" lockStructure="1"/>
  <bookViews>
    <workbookView xWindow="-120" yWindow="-120" windowWidth="20730" windowHeight="11160" xr2:uid="{82A04952-E2FF-4A89-87AE-39010027FF5F}"/>
  </bookViews>
  <sheets>
    <sheet name="Intro" sheetId="6" r:id="rId1"/>
    <sheet name="Background" sheetId="14" r:id="rId2"/>
    <sheet name="River Itchen SAC" sheetId="15" r:id="rId3"/>
    <sheet name="Instructions" sheetId="12" r:id="rId4"/>
    <sheet name="Development site details" sheetId="2" r:id="rId5"/>
    <sheet name="Stage 1" sheetId="7" r:id="rId6"/>
    <sheet name="Stage 2" sheetId="8" r:id="rId7"/>
    <sheet name="Stage 3" sheetId="9" r:id="rId8"/>
    <sheet name="Stage 4" sheetId="10" r:id="rId9"/>
    <sheet name="Stage 4 (2)" sheetId="13" state="hidden" r:id="rId10"/>
    <sheet name="Lookups" sheetId="3" r:id="rId11"/>
  </sheets>
  <externalReferences>
    <externalReference r:id="rId1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0" i="3" l="1"/>
  <c r="I100" i="3"/>
  <c r="H100" i="3"/>
  <c r="J99" i="3"/>
  <c r="I99" i="3"/>
  <c r="H99" i="3"/>
  <c r="J98" i="3"/>
  <c r="I98" i="3"/>
  <c r="H98" i="3"/>
  <c r="H97" i="3"/>
  <c r="H96" i="3"/>
  <c r="H95" i="3"/>
  <c r="I94" i="3"/>
  <c r="H94" i="3"/>
  <c r="H93" i="3"/>
  <c r="M92" i="3"/>
  <c r="L92" i="3"/>
  <c r="K92" i="3"/>
  <c r="H92" i="3"/>
  <c r="M91" i="3"/>
  <c r="L91" i="3"/>
  <c r="K91" i="3"/>
  <c r="H91" i="3"/>
  <c r="M90" i="3"/>
  <c r="L90" i="3"/>
  <c r="K90" i="3"/>
  <c r="H90" i="3"/>
  <c r="M89" i="3"/>
  <c r="L89" i="3"/>
  <c r="K89" i="3"/>
  <c r="H89" i="3"/>
  <c r="M88" i="3"/>
  <c r="L88" i="3"/>
  <c r="K88" i="3"/>
  <c r="H88" i="3"/>
  <c r="M87" i="3"/>
  <c r="L87" i="3"/>
  <c r="K87" i="3"/>
  <c r="H87" i="3"/>
  <c r="M86" i="3"/>
  <c r="L86" i="3"/>
  <c r="K86" i="3"/>
  <c r="H86" i="3"/>
  <c r="M85" i="3"/>
  <c r="L85" i="3"/>
  <c r="K85" i="3"/>
  <c r="H85" i="3"/>
  <c r="M84" i="3"/>
  <c r="L84" i="3"/>
  <c r="K84" i="3"/>
  <c r="H84" i="3"/>
  <c r="M83" i="3"/>
  <c r="L83" i="3"/>
  <c r="K83" i="3"/>
  <c r="H83" i="3"/>
  <c r="M82" i="3"/>
  <c r="L82" i="3"/>
  <c r="K82" i="3"/>
  <c r="H82" i="3"/>
  <c r="M81" i="3"/>
  <c r="L81" i="3"/>
  <c r="K81" i="3"/>
  <c r="H81" i="3"/>
  <c r="M80" i="3"/>
  <c r="L80" i="3"/>
  <c r="K80" i="3"/>
  <c r="H80" i="3"/>
  <c r="M79" i="3"/>
  <c r="L79" i="3"/>
  <c r="K79" i="3"/>
  <c r="H79" i="3"/>
  <c r="M78" i="3"/>
  <c r="L78" i="3"/>
  <c r="K78" i="3"/>
  <c r="H78" i="3"/>
  <c r="M77" i="3"/>
  <c r="L77" i="3"/>
  <c r="K77" i="3"/>
  <c r="H77" i="3"/>
  <c r="M76" i="3"/>
  <c r="L76" i="3"/>
  <c r="K76" i="3"/>
  <c r="H76" i="3"/>
  <c r="M75" i="3"/>
  <c r="L75" i="3"/>
  <c r="K75" i="3"/>
  <c r="H75" i="3"/>
  <c r="M74" i="3"/>
  <c r="L74" i="3"/>
  <c r="K74" i="3"/>
  <c r="H74" i="3"/>
  <c r="M73" i="3"/>
  <c r="L73" i="3"/>
  <c r="K73" i="3"/>
  <c r="H73" i="3"/>
  <c r="M72" i="3"/>
  <c r="L72" i="3"/>
  <c r="K72" i="3"/>
  <c r="H72" i="3"/>
  <c r="M71" i="3"/>
  <c r="L71" i="3"/>
  <c r="K71" i="3"/>
  <c r="H71" i="3"/>
  <c r="M70" i="3"/>
  <c r="L70" i="3"/>
  <c r="K70" i="3"/>
  <c r="H70" i="3"/>
  <c r="M69" i="3"/>
  <c r="L69" i="3"/>
  <c r="K69" i="3"/>
  <c r="H69" i="3"/>
  <c r="M68" i="3"/>
  <c r="L68" i="3"/>
  <c r="K68" i="3"/>
  <c r="H68" i="3"/>
  <c r="M67" i="3"/>
  <c r="L67" i="3"/>
  <c r="K67" i="3"/>
  <c r="H67" i="3"/>
  <c r="M66" i="3"/>
  <c r="L66" i="3"/>
  <c r="K66" i="3"/>
  <c r="H66" i="3"/>
  <c r="M65" i="3"/>
  <c r="L65" i="3"/>
  <c r="K65" i="3"/>
  <c r="H65" i="3"/>
  <c r="M64" i="3"/>
  <c r="L64" i="3"/>
  <c r="K64" i="3"/>
  <c r="H64" i="3"/>
  <c r="M63" i="3"/>
  <c r="L63" i="3"/>
  <c r="K63" i="3"/>
  <c r="H63" i="3"/>
  <c r="M62" i="3"/>
  <c r="L62" i="3"/>
  <c r="K62" i="3"/>
  <c r="H62" i="3"/>
  <c r="M61" i="3"/>
  <c r="L61" i="3"/>
  <c r="K61" i="3"/>
  <c r="H61" i="3"/>
  <c r="M60" i="3"/>
  <c r="L60" i="3"/>
  <c r="K60" i="3"/>
  <c r="H60" i="3"/>
  <c r="M59" i="3"/>
  <c r="L59" i="3"/>
  <c r="K59" i="3"/>
  <c r="H59" i="3"/>
  <c r="M58" i="3"/>
  <c r="L58" i="3"/>
  <c r="K58" i="3"/>
  <c r="H58" i="3"/>
  <c r="O57" i="3"/>
  <c r="N57" i="3"/>
  <c r="M57" i="3"/>
  <c r="L57" i="3"/>
  <c r="K57" i="3"/>
  <c r="H57" i="3"/>
  <c r="M56" i="3"/>
  <c r="L56" i="3"/>
  <c r="K56" i="3"/>
  <c r="H56" i="3"/>
  <c r="M55" i="3"/>
  <c r="L55" i="3"/>
  <c r="K55" i="3"/>
  <c r="H55" i="3"/>
  <c r="M54" i="3"/>
  <c r="L54" i="3"/>
  <c r="K54" i="3"/>
  <c r="H54" i="3"/>
  <c r="M53" i="3"/>
  <c r="L53" i="3"/>
  <c r="K53" i="3"/>
  <c r="H53" i="3"/>
  <c r="M52" i="3"/>
  <c r="L52" i="3"/>
  <c r="K52" i="3"/>
  <c r="H52" i="3"/>
  <c r="M51" i="3"/>
  <c r="L51" i="3"/>
  <c r="K51" i="3"/>
  <c r="H51" i="3"/>
  <c r="M50" i="3"/>
  <c r="L50" i="3"/>
  <c r="K50" i="3"/>
  <c r="H50" i="3"/>
  <c r="M49" i="3"/>
  <c r="L49" i="3"/>
  <c r="K49" i="3"/>
  <c r="H49" i="3"/>
  <c r="M48" i="3"/>
  <c r="L48" i="3"/>
  <c r="K48" i="3"/>
  <c r="H48" i="3"/>
  <c r="M47" i="3"/>
  <c r="L47" i="3"/>
  <c r="K47" i="3"/>
  <c r="H47" i="3"/>
  <c r="M46" i="3"/>
  <c r="L46" i="3"/>
  <c r="K46" i="3"/>
  <c r="H46" i="3"/>
  <c r="M45" i="3"/>
  <c r="L45" i="3"/>
  <c r="K45" i="3"/>
  <c r="H45" i="3"/>
  <c r="M44" i="3"/>
  <c r="L44" i="3"/>
  <c r="K44" i="3"/>
  <c r="H44" i="3"/>
  <c r="M43" i="3"/>
  <c r="L43" i="3"/>
  <c r="K43" i="3"/>
  <c r="H43" i="3"/>
  <c r="M42" i="3"/>
  <c r="L42" i="3"/>
  <c r="K42" i="3"/>
  <c r="H42" i="3"/>
  <c r="M41" i="3"/>
  <c r="L41" i="3"/>
  <c r="K41" i="3"/>
  <c r="H41" i="3"/>
  <c r="O40" i="3"/>
  <c r="N40" i="3"/>
  <c r="M40" i="3"/>
  <c r="L40" i="3"/>
  <c r="K40" i="3"/>
  <c r="H40" i="3"/>
  <c r="M39" i="3"/>
  <c r="L39" i="3"/>
  <c r="K39" i="3"/>
  <c r="H39" i="3"/>
  <c r="M38" i="3"/>
  <c r="L38" i="3"/>
  <c r="K38" i="3"/>
  <c r="H38" i="3"/>
  <c r="M37" i="3"/>
  <c r="L37" i="3"/>
  <c r="K37" i="3"/>
  <c r="H37" i="3"/>
  <c r="M36" i="3"/>
  <c r="L36" i="3"/>
  <c r="K36" i="3"/>
  <c r="H36" i="3"/>
  <c r="O35" i="3"/>
  <c r="N35" i="3"/>
  <c r="M35" i="3"/>
  <c r="L35" i="3"/>
  <c r="K35" i="3"/>
  <c r="H35" i="3"/>
  <c r="M34" i="3"/>
  <c r="L34" i="3"/>
  <c r="K34" i="3"/>
  <c r="H34" i="3"/>
  <c r="O33" i="3"/>
  <c r="N33" i="3"/>
  <c r="M33" i="3"/>
  <c r="L33" i="3"/>
  <c r="K33" i="3"/>
  <c r="H33" i="3"/>
  <c r="M32" i="3"/>
  <c r="L32" i="3"/>
  <c r="K32" i="3"/>
  <c r="H32" i="3"/>
  <c r="M31" i="3"/>
  <c r="L31" i="3"/>
  <c r="K31" i="3"/>
  <c r="H31" i="3"/>
  <c r="O30" i="3"/>
  <c r="N30" i="3"/>
  <c r="M30" i="3"/>
  <c r="L30" i="3"/>
  <c r="K30" i="3"/>
  <c r="H30" i="3"/>
  <c r="M29" i="3"/>
  <c r="L29" i="3"/>
  <c r="K29" i="3"/>
  <c r="H29" i="3"/>
  <c r="M28" i="3"/>
  <c r="L28" i="3"/>
  <c r="K28" i="3"/>
  <c r="H28" i="3"/>
  <c r="O27" i="3"/>
  <c r="N27" i="3"/>
  <c r="M27" i="3"/>
  <c r="L27" i="3"/>
  <c r="K27" i="3"/>
  <c r="H27" i="3"/>
  <c r="M26" i="3"/>
  <c r="L26" i="3"/>
  <c r="K26" i="3"/>
  <c r="H26" i="3"/>
  <c r="M25" i="3"/>
  <c r="L25" i="3"/>
  <c r="K25" i="3"/>
  <c r="H25" i="3"/>
  <c r="M24" i="3"/>
  <c r="L24" i="3"/>
  <c r="K24" i="3"/>
  <c r="H24" i="3"/>
  <c r="O23" i="3"/>
  <c r="J94" i="3" s="1"/>
  <c r="N23" i="3"/>
  <c r="M23" i="3"/>
  <c r="L23" i="3"/>
  <c r="K23" i="3"/>
  <c r="H23" i="3"/>
  <c r="M22" i="3"/>
  <c r="L22" i="3"/>
  <c r="K22" i="3"/>
  <c r="H22" i="3"/>
  <c r="M21" i="3"/>
  <c r="L21" i="3"/>
  <c r="K21" i="3"/>
  <c r="H21" i="3"/>
  <c r="M20" i="3"/>
  <c r="L20" i="3"/>
  <c r="K20" i="3"/>
  <c r="H20" i="3"/>
  <c r="O19" i="3"/>
  <c r="N19" i="3"/>
  <c r="M19" i="3"/>
  <c r="L19" i="3"/>
  <c r="K19" i="3"/>
  <c r="H19" i="3"/>
  <c r="G13" i="3"/>
  <c r="E13" i="3"/>
  <c r="G12" i="3"/>
  <c r="E12" i="3"/>
  <c r="G10" i="3"/>
  <c r="E10" i="3"/>
  <c r="G9" i="3"/>
  <c r="E9" i="3"/>
  <c r="G8" i="3"/>
  <c r="E8" i="3"/>
  <c r="F28" i="10"/>
  <c r="F22" i="10"/>
  <c r="F21" i="10"/>
  <c r="C21" i="10"/>
  <c r="D27" i="9"/>
  <c r="F26" i="9"/>
  <c r="E26" i="9"/>
  <c r="F25" i="9"/>
  <c r="E25" i="9"/>
  <c r="F24" i="9"/>
  <c r="E24" i="9"/>
  <c r="F23" i="9"/>
  <c r="E23" i="9"/>
  <c r="F22" i="9"/>
  <c r="E22" i="9"/>
  <c r="F21" i="9"/>
  <c r="E21" i="9"/>
  <c r="F20" i="9"/>
  <c r="E20" i="9"/>
  <c r="F19" i="9"/>
  <c r="E19" i="9"/>
  <c r="F18" i="9"/>
  <c r="E18" i="9"/>
  <c r="F17" i="9"/>
  <c r="E17" i="9"/>
  <c r="F16" i="9"/>
  <c r="E16" i="9"/>
  <c r="F15" i="9"/>
  <c r="E15" i="9"/>
  <c r="F14" i="9"/>
  <c r="E14" i="9"/>
  <c r="F13" i="9"/>
  <c r="E13" i="9"/>
  <c r="F12" i="9"/>
  <c r="E12" i="9"/>
  <c r="F11" i="9"/>
  <c r="E11" i="9"/>
  <c r="F10" i="9"/>
  <c r="F27" i="9" s="1"/>
  <c r="E10" i="9"/>
  <c r="E27" i="9" s="1"/>
  <c r="D32" i="8"/>
  <c r="G31" i="8"/>
  <c r="F31" i="8"/>
  <c r="E31" i="8"/>
  <c r="G30" i="8"/>
  <c r="F30" i="8"/>
  <c r="E30" i="8"/>
  <c r="G29" i="8"/>
  <c r="F29" i="8"/>
  <c r="E29" i="8"/>
  <c r="G28" i="8"/>
  <c r="F28" i="8"/>
  <c r="E28" i="8"/>
  <c r="G27" i="8"/>
  <c r="F27" i="8"/>
  <c r="E27" i="8"/>
  <c r="G26" i="8"/>
  <c r="F26" i="8"/>
  <c r="E26" i="8"/>
  <c r="G25" i="8"/>
  <c r="F25" i="8"/>
  <c r="E25" i="8"/>
  <c r="G24" i="8"/>
  <c r="F24" i="8"/>
  <c r="E24" i="8"/>
  <c r="G23" i="8"/>
  <c r="F23" i="8"/>
  <c r="E23" i="8"/>
  <c r="G22" i="8"/>
  <c r="F22" i="8"/>
  <c r="E22" i="8"/>
  <c r="G21" i="8"/>
  <c r="F21" i="8"/>
  <c r="E21" i="8"/>
  <c r="G20" i="8"/>
  <c r="F20" i="8"/>
  <c r="E20" i="8"/>
  <c r="G19" i="8"/>
  <c r="F19" i="8"/>
  <c r="E19" i="8"/>
  <c r="G18" i="8"/>
  <c r="F18" i="8"/>
  <c r="E18" i="8"/>
  <c r="G17" i="8"/>
  <c r="F17" i="8"/>
  <c r="E17" i="8"/>
  <c r="G16" i="8"/>
  <c r="F16" i="8"/>
  <c r="E16" i="8"/>
  <c r="G15" i="8"/>
  <c r="F15" i="8"/>
  <c r="F32" i="8" s="1"/>
  <c r="E15" i="8"/>
  <c r="E32" i="8" s="1"/>
  <c r="I24" i="7"/>
  <c r="G24" i="7"/>
  <c r="D24" i="7"/>
  <c r="I23" i="7"/>
  <c r="G23" i="7"/>
  <c r="D23" i="7"/>
  <c r="G21" i="7"/>
  <c r="C21" i="7"/>
  <c r="H16" i="7"/>
  <c r="G16" i="7"/>
  <c r="D33" i="7" s="1"/>
  <c r="D34" i="7" s="1"/>
  <c r="D35" i="7" s="1"/>
  <c r="F16" i="7"/>
  <c r="D16" i="7"/>
  <c r="H24" i="7" s="1"/>
  <c r="H15" i="7"/>
  <c r="G15" i="7"/>
  <c r="D27" i="7" s="1"/>
  <c r="D28" i="7" s="1"/>
  <c r="D29" i="7" s="1"/>
  <c r="D30" i="7" s="1"/>
  <c r="F15" i="7"/>
  <c r="D15" i="7"/>
  <c r="H23" i="7" s="1"/>
  <c r="G10" i="7"/>
  <c r="C15" i="13" l="1"/>
  <c r="D16" i="10"/>
  <c r="D36" i="7"/>
  <c r="D11" i="10"/>
  <c r="C27" i="13"/>
  <c r="G22" i="10"/>
  <c r="D10" i="10"/>
  <c r="C24" i="13"/>
  <c r="C30" i="13" s="1"/>
  <c r="C33" i="13" s="1"/>
  <c r="C16" i="13"/>
  <c r="G28" i="10"/>
  <c r="D17" i="10"/>
  <c r="C17" i="13" l="1"/>
  <c r="C18" i="13" s="1"/>
  <c r="F29" i="13" s="1"/>
  <c r="D12" i="10"/>
  <c r="D13" i="10" s="1"/>
  <c r="D22" i="10" s="1"/>
  <c r="H11" i="13"/>
  <c r="F24" i="13"/>
  <c r="D18" i="10"/>
  <c r="D19" i="10" s="1"/>
  <c r="D28" i="10" s="1"/>
</calcChain>
</file>

<file path=xl/sharedStrings.xml><?xml version="1.0" encoding="utf-8"?>
<sst xmlns="http://schemas.openxmlformats.org/spreadsheetml/2006/main" count="650" uniqueCount="255">
  <si>
    <r>
      <rPr>
        <b/>
        <i/>
        <sz val="8"/>
        <color theme="2" tint="-0.249977111117893"/>
        <rFont val="Calibri"/>
        <family val="2"/>
        <scheme val="minor"/>
      </rPr>
      <t>Image Source:</t>
    </r>
    <r>
      <rPr>
        <i/>
        <sz val="8"/>
        <color theme="2" tint="-0.249977111117893"/>
        <rFont val="Calibri"/>
        <family val="2"/>
        <scheme val="minor"/>
      </rPr>
      <t xml:space="preserve">
Neil Howard
The River Itchen near Winchester</t>
    </r>
    <r>
      <rPr>
        <sz val="8"/>
        <color theme="2" tint="-0.249977111117893"/>
        <rFont val="Calibri"/>
        <family val="2"/>
        <scheme val="minor"/>
      </rPr>
      <t xml:space="preserve">
Copyright: © Neil Howard 2012</t>
    </r>
  </si>
  <si>
    <t>Background</t>
  </si>
  <si>
    <t xml:space="preserve">There have been a series of court cases in recent years relating to how new plans or projects interact with the Habitats Regulations process where there are existing high levels of background nutrients. These decisions have led Natural England to review its advice on water quality effects on Habitats sites.  </t>
  </si>
  <si>
    <t xml:space="preserve">The additional nutrient load from the increase in wastewater and/or the change in the land use of the development land created by a new residential development can create an impact pathway for potential negative effects on Habitats sites that are already suffering from problems related to nutrient loading. This impact pathway is shown diagrammatically in Figure 1.  </t>
  </si>
  <si>
    <t xml:space="preserve">Habitats Regulations Assessments (HRAs) of new residential developments need to consider whether nutrient loading will result in ‘Likely Significant Effects’ (LSE) on a Habitats site.  If an HRA finds LSE due to nutrient loading,  the Appropriate Assessment will need to consider whether this nutrient load needs to be mitigated in order to remove adverse effects on the Habitats site.  </t>
  </si>
  <si>
    <t xml:space="preserve">The first step in an HRA involving nutrient neutrality is understanding both whether a residential development will need mitigation to achieve nutrient neutrality and, if so, the amount of nutrients that require mitigating on an annual basis.  In order to understand the amount of nutrients a new residential development will create, a nutrient budget for the development is required.  </t>
  </si>
  <si>
    <r>
      <t>This tool provides a step-by-step approach to calculating the nutrient budget for a new residential development.  Before a nutrient budget can be completed using the methodology, certain site-specific details for the Habitats Site in question need to be determined.  The required details for each stage of the nutrient budget methodology are shown in the instructions tab, with an associated guidance document that informs users of this calculator how to generate certain inputs to the calculator.</t>
    </r>
    <r>
      <rPr>
        <sz val="12"/>
        <color rgb="FF000000"/>
        <rFont val="Arial"/>
        <family val="2"/>
      </rPr>
      <t xml:space="preserve"> </t>
    </r>
  </si>
  <si>
    <t>River Itchen Special Area of Conservation (SAC)</t>
  </si>
  <si>
    <t>The River Itchen SAC is a Habitats site with water pollution and eutrophication considered as a threat to its condition.</t>
  </si>
  <si>
    <t xml:space="preserve">The Itchen is a chalk river, which is a rare type of river habitat that can support a diverse ecology along its entire length. </t>
  </si>
  <si>
    <t xml:space="preserve">The river’s vegetation is exceptionally species rich, with many of the typical chalk stream plants present in abundance, including species such as river water-crowfoot and stream water-crowfoot. </t>
  </si>
  <si>
    <t>The river is rich in invertebrates, including Southern Damselfly, and supports diverse populations of aquatic molluscs. The Itchen supports one of the few populations of the native freshwater crayfish remaining in the rivers of southern England, along with fish species such as Atlantic salmon, bullhead and brook lamprey, along with a population of otters.</t>
  </si>
  <si>
    <t xml:space="preserve">Increased levels of nitrogen and phosphorus entering aquatic environments via surface water and groundwater can severely threaten these sensitive habitats and species within the SAC. The elevated levels of nutrients can cause eutrophication, leading to algal blooms which disrupt normal ecosystem function and cause major changes in the aquatic community. These algal blooms can result in reduced levels of oxygen within the water, which in turn can lead to the death of many aquatic organisms including invertebrates and fish. </t>
  </si>
  <si>
    <t xml:space="preserve">More detailed information on the qualifying features of the SAC and details of water quality data highlighting the current nutrient problems in the river are available in the Natural England River Itchen SAC evidence summary. </t>
  </si>
  <si>
    <t>Instructions</t>
  </si>
  <si>
    <t>The nutrient budget for a site is calculated in four stages, with each stage implemented in the following worksheets.</t>
  </si>
  <si>
    <t>1. General tips:</t>
  </si>
  <si>
    <t xml:space="preserve">Key: </t>
  </si>
  <si>
    <t>Values to be entered by the user</t>
  </si>
  <si>
    <t>Fixed or calculated values</t>
  </si>
  <si>
    <t>Lookup tables</t>
  </si>
  <si>
    <t>When a cell is selected, instructions are shown on how to fill out the cell:</t>
  </si>
  <si>
    <r>
      <t>It is advisable to retain a blank copy of this workbook and "Save as" a new copy each time you calculate a budget, in case of any mistakes in data inputs or to ease calculation of new nutrient budgets .</t>
    </r>
    <r>
      <rPr>
        <b/>
        <sz val="11"/>
        <color rgb="FF000000"/>
        <rFont val="Arial"/>
        <family val="2"/>
      </rPr>
      <t xml:space="preserve"> </t>
    </r>
  </si>
  <si>
    <t xml:space="preserve">Note: </t>
  </si>
  <si>
    <t xml:space="preserve">The values already included in this tool have been chosen based on research to determine suitable inputs to the nutrient budget that meet the HRA tests of beyond reasonable scientific doubt, in perpetuity (practically speaking this is 80-125 years) and in accordance with the precautionary principle. If editing any values in this tool, you must make sure there is a sufficient evidence base to justify these changes and that the new inputs are selected in accordance with the precautionary principle.  </t>
  </si>
  <si>
    <t>2. Stage specific instructions:</t>
  </si>
  <si>
    <t>2.1 Stage 1: calculate the new nutrient load associated with the additional wastewater:</t>
  </si>
  <si>
    <t xml:space="preserve">In this section the user will need to enter: </t>
  </si>
  <si>
    <t>The date of first occupancy. This is because some wastewater treatment works (WwTW) may be due an upgrade in 2025 which will change the nutrient concentration permit values. This will be shown through two values for the permits and nutrients load from before and after the upgrade.</t>
  </si>
  <si>
    <t>The average occupancy rate of the development will need to be entered. The default setting is the national occupancy rate of 2.4 people per dwelling/unit. Only change this value if there is sufficient evidence that the development will be different to the national average.</t>
  </si>
  <si>
    <t>The number of dwellings/units that will be in the development at the time of completion.</t>
  </si>
  <si>
    <t>Whether the catchment of the proposed development has a deductible acceptable loading or not.</t>
  </si>
  <si>
    <t>The receiving WwTW that the development will drain to. If it is uncertain what WwTW the site will drain to, please find this information from your sewerage company before completing the calculator. If it is not feasable to connect to a WwTW and a septic tank or package treatment plant is being used, please select this option. Please be aware that if the total nitrogen (TN) or total phosphorus (TP) final effluent concentrations (in mg/l) are specified by the manufacturer, please select 'Septic Tank user defined' or 'Package Treatment Plant user defined' and enter the manufacturer specified value in the cell where prompted.</t>
  </si>
  <si>
    <t>2.2 Stage 2 - calculate the annual nutrient load from existing (pre development) land use on the development site:</t>
  </si>
  <si>
    <t>In this section some environmental information about the development will need to be entered as well as the type(s) and area(s) of landcover on the development site. Only landcovers for the land that is being altered by the development should be entered.</t>
  </si>
  <si>
    <t>The drop down list of landcover types contains seven agricultural landcover types and eight different non-agricultural landcover types that may be present in the development. Please find out what landcover types are within the development before completing this tool. If there is a landcover within the development area that is not in the list please select the most similar landcover type.</t>
  </si>
  <si>
    <t>The instructions at the bottom of this page detail how to find the environmental information for the site if it is unknown.</t>
  </si>
  <si>
    <t>2.3 Stage 3 - calculate the annual nutrient load from new (post-development) land use on the development site:</t>
  </si>
  <si>
    <t>In this section the user will need to select the type(s) and area(s) of the landcover present on the new site.</t>
  </si>
  <si>
    <t>The drop down list of landcover types contains eight different landcover types that may be present on the development site. Please find out what landcover types will be within the development site before completing this tool. If there is a landcover within the development site that is not in the list please select the most similar landcover type.</t>
  </si>
  <si>
    <t>The guidance document that accompanies this calculator breaks down what is included in each landcover type.</t>
  </si>
  <si>
    <t>2.4 Stage 4 - calculate the net change in nutrient loading for the site and the final annual nutrient budget for the development site:</t>
  </si>
  <si>
    <t>This final stage automatically calculates the results from Stage 1-3 using the equation below.</t>
  </si>
  <si>
    <t>The value(s) shown are how much nutrient mitigation is required in kilograms per year to achieve nutrient neutrality.</t>
  </si>
  <si>
    <t>If there are two values due to changing permits, the calculator will show the total amount of nutrient mitigation that is needed before and after the changing permit date.</t>
  </si>
  <si>
    <t>2.5 The equation used to calculate the nutrient budget:</t>
  </si>
  <si>
    <t>3. Site specific data collection instructions:</t>
  </si>
  <si>
    <t>3.1 Instructions for finding the Operational Catchment that the development is situated within:</t>
  </si>
  <si>
    <t xml:space="preserve">a) Go to this link:  </t>
  </si>
  <si>
    <t xml:space="preserve">http://environment.data.gov.uk/catchment-planning/ </t>
  </si>
  <si>
    <t>b) Search the location by place name, postcode etc. This will give a high-level view of the area. Use the zoom feature to find the exact location of the development.</t>
  </si>
  <si>
    <t>c) Click on the light blue area on the map in which the development is located. This will bring the user to the Operational Catchment page</t>
  </si>
  <si>
    <t>d) Make note of the name of the Operational Catchment and select it from the dropdown list in the relevant cell.</t>
  </si>
  <si>
    <t>3.2 Instructions for finding the drainage associated with the predominant soil type within development site:</t>
  </si>
  <si>
    <t xml:space="preserve">a) Go to this link:   </t>
  </si>
  <si>
    <t xml:space="preserve">http://www.landis.org.uk/soilscapes/#.  </t>
  </si>
  <si>
    <t>b) Find the site location on the map by using the search bar on the right side of the map in the 'Search' tab. Searching an area will generate a pop up window in which you can view the soil information by clicking 'View soil information'. If this is not an option then click on the relevant soil type on the map and click on the 'Soil information' tab on the right hand side of the map, below the 'Search' tab.</t>
  </si>
  <si>
    <t>c) The 'Soil drainage type' value can be found In the 'Soil information' under the title 'Drainage:'</t>
  </si>
  <si>
    <t>d) Make a note of this soil type and select the relevant soil drainage type from the drop down list in the relevant cell.</t>
  </si>
  <si>
    <t>3.3 Instructions for finding the annual average rainfall that the development will receive using the National River Flow Archive:</t>
  </si>
  <si>
    <t xml:space="preserve"> https://nrfa.ceh.ac.uk/data/station/spatial/42023</t>
  </si>
  <si>
    <t>b) This link will bring the user to the Itchen at Riverside Park flow gauge catchment information page.</t>
  </si>
  <si>
    <t>c) Click on the dropdown list next to the title 'Select spatial data type to view:' on the left of the map and select 'Rainfall'. Next select the Legend tab.</t>
  </si>
  <si>
    <t>d) Zoom in on the map to find the location of the development and find the corresponding rainfall range from the Legend.</t>
  </si>
  <si>
    <t xml:space="preserve">e) Select the rainfall band from the drop down list in the table.  If your rainfall band is not in the drop down list, please select the closest band shown in the list.                               </t>
  </si>
  <si>
    <t>3.4 Instructions for finding out whether the development is in a Nitrate Vulnerable Zone (NVZ):</t>
  </si>
  <si>
    <t>a) Go to this link:</t>
  </si>
  <si>
    <t>http://mapapps2.bgs.ac.uk/ukso/home.html?layers=NVZEng</t>
  </si>
  <si>
    <t>b) Enter the location of the development site in the search bar.</t>
  </si>
  <si>
    <t>c) Once the area has been located, click on the map where the development is located to find out if is within an NVZ.</t>
  </si>
  <si>
    <t xml:space="preserve">d) Make note of this and select this in the dropdown list. </t>
  </si>
  <si>
    <t>Development site details</t>
  </si>
  <si>
    <r>
      <t xml:space="preserve">Date </t>
    </r>
    <r>
      <rPr>
        <sz val="11"/>
        <rFont val="Calibri"/>
        <family val="2"/>
        <scheme val="minor"/>
      </rPr>
      <t>(dd/mm/yyyy)</t>
    </r>
    <r>
      <rPr>
        <b/>
        <sz val="11"/>
        <rFont val="Calibri"/>
        <family val="2"/>
        <scheme val="minor"/>
      </rPr>
      <t>:</t>
    </r>
  </si>
  <si>
    <t>Site Name:</t>
  </si>
  <si>
    <t>Planning Application number:</t>
  </si>
  <si>
    <t>Site Address:</t>
  </si>
  <si>
    <t>Stage 1</t>
  </si>
  <si>
    <t>User Inputs</t>
  </si>
  <si>
    <t>Date of first occupancy:</t>
  </si>
  <si>
    <t>Average occupancy rate:</t>
  </si>
  <si>
    <r>
      <t xml:space="preserve">Water usage </t>
    </r>
    <r>
      <rPr>
        <sz val="11"/>
        <rFont val="Arial"/>
        <family val="2"/>
      </rPr>
      <t>(litres/person/day)</t>
    </r>
    <r>
      <rPr>
        <b/>
        <sz val="11"/>
        <rFont val="Arial"/>
        <family val="2"/>
      </rPr>
      <t>:</t>
    </r>
  </si>
  <si>
    <r>
      <t xml:space="preserve">Development Proposal </t>
    </r>
    <r>
      <rPr>
        <sz val="11"/>
        <rFont val="Arial"/>
        <family val="2"/>
      </rPr>
      <t>(dwellings/units)</t>
    </r>
    <r>
      <rPr>
        <b/>
        <sz val="11"/>
        <rFont val="Arial"/>
        <family val="2"/>
      </rPr>
      <t>:</t>
    </r>
  </si>
  <si>
    <t xml:space="preserve">Include deductible acceptable loading? </t>
  </si>
  <si>
    <t>No</t>
  </si>
  <si>
    <t>Wastewater treatment works:</t>
  </si>
  <si>
    <t>Harestock WwTW</t>
  </si>
  <si>
    <r>
      <t xml:space="preserve">Wastewater treatment works P permit </t>
    </r>
    <r>
      <rPr>
        <sz val="11"/>
        <rFont val="Arial"/>
        <family val="2"/>
      </rPr>
      <t>(mg TP/litre)</t>
    </r>
    <r>
      <rPr>
        <b/>
        <sz val="11"/>
        <rFont val="Arial"/>
        <family val="2"/>
      </rPr>
      <t>:</t>
    </r>
  </si>
  <si>
    <r>
      <t xml:space="preserve">Wastewater treatment works N permit </t>
    </r>
    <r>
      <rPr>
        <sz val="11"/>
        <rFont val="Arial"/>
        <family val="2"/>
      </rPr>
      <t>(mg TN/litre)</t>
    </r>
    <r>
      <rPr>
        <b/>
        <sz val="11"/>
        <rFont val="Arial"/>
        <family val="2"/>
      </rPr>
      <t>:</t>
    </r>
  </si>
  <si>
    <t>Stage 1 Calculated Loading</t>
  </si>
  <si>
    <t>AND($C$9&lt;DATE(2025,1,1),OR((VLOOKUP($C$13,Lookups!$A$9:$E$14,2,FALSE))&gt;(VLOOKUP($C$13,Lookups!$A$9:$E$14,4,FALSE)),(VLOOKUP($C$13,Lookups!$A$9:$E$14,3,FALSE))&gt;(VLOOKUP($C$13,Lookups!$A$9:$E$14,5,FALSE))))</t>
  </si>
  <si>
    <t>Additional population</t>
  </si>
  <si>
    <t>people</t>
  </si>
  <si>
    <t>Wastewater by development</t>
  </si>
  <si>
    <t>litres/day</t>
  </si>
  <si>
    <t>TP discharge from WwTW</t>
  </si>
  <si>
    <t>mg TP/day</t>
  </si>
  <si>
    <t>Convert to kg/TP/d</t>
  </si>
  <si>
    <t>kg TP/day</t>
  </si>
  <si>
    <t>Convert to kg/TP/yr</t>
  </si>
  <si>
    <t>kg TP/yr</t>
  </si>
  <si>
    <t>Annual wastewater TP load</t>
  </si>
  <si>
    <t>TN discharge from WwTW</t>
  </si>
  <si>
    <t>mg TN/day</t>
  </si>
  <si>
    <t>Convert to kg/TN/d</t>
  </si>
  <si>
    <t>kg TN/day</t>
  </si>
  <si>
    <t>Convert to kg/TN/yr</t>
  </si>
  <si>
    <t>kg TN/yr</t>
  </si>
  <si>
    <t>Annual wastewater TN load</t>
  </si>
  <si>
    <t>Stage 2</t>
  </si>
  <si>
    <t>Catchment:</t>
  </si>
  <si>
    <t>Soil drainage type:</t>
  </si>
  <si>
    <r>
      <t xml:space="preserve">Annual average rainfall </t>
    </r>
    <r>
      <rPr>
        <sz val="11"/>
        <rFont val="Arial"/>
        <family val="2"/>
      </rPr>
      <t>(mm)</t>
    </r>
    <r>
      <rPr>
        <b/>
        <sz val="11"/>
        <rFont val="Arial"/>
        <family val="2"/>
      </rPr>
      <t>:</t>
    </r>
  </si>
  <si>
    <t>Within Nitrate Vulnerable Zone (NVZ):</t>
  </si>
  <si>
    <t>Existing land use type(s)</t>
  </si>
  <si>
    <r>
      <t xml:space="preserve">Area </t>
    </r>
    <r>
      <rPr>
        <sz val="11"/>
        <color theme="1"/>
        <rFont val="Arial"/>
        <family val="2"/>
      </rPr>
      <t>(ha)</t>
    </r>
  </si>
  <si>
    <r>
      <t xml:space="preserve">Annual phosphorus nutrient export 
</t>
    </r>
    <r>
      <rPr>
        <sz val="11"/>
        <color theme="1"/>
        <rFont val="Arial"/>
        <family val="2"/>
      </rPr>
      <t>(kg TP)</t>
    </r>
  </si>
  <si>
    <r>
      <t xml:space="preserve">Annual nitrogen nutrient export 
</t>
    </r>
    <r>
      <rPr>
        <sz val="11"/>
        <color theme="1"/>
        <rFont val="Arial"/>
        <family val="2"/>
      </rPr>
      <t>(kg TN)</t>
    </r>
  </si>
  <si>
    <t>Residential urban land</t>
  </si>
  <si>
    <t>Total:</t>
  </si>
  <si>
    <t>Stage 3</t>
  </si>
  <si>
    <t>New land use type(s)</t>
  </si>
  <si>
    <r>
      <t xml:space="preserve">Annual nitrogen nutrient export
</t>
    </r>
    <r>
      <rPr>
        <sz val="11"/>
        <color theme="1"/>
        <rFont val="Arial"/>
        <family val="2"/>
      </rPr>
      <t>(kg TN)</t>
    </r>
  </si>
  <si>
    <t>Community food growing</t>
  </si>
  <si>
    <t>Stage 4</t>
  </si>
  <si>
    <t>Calculated Outputs</t>
  </si>
  <si>
    <t>P loading to WwTW:</t>
  </si>
  <si>
    <t>Net land use P change:</t>
  </si>
  <si>
    <t>P budget:</t>
  </si>
  <si>
    <t>P budget + 20% buffer:</t>
  </si>
  <si>
    <t>N loading to WwTW:</t>
  </si>
  <si>
    <t>Net land use N change:</t>
  </si>
  <si>
    <t>N budget:</t>
  </si>
  <si>
    <t>N budget + 20% buffer:</t>
  </si>
  <si>
    <t>The total annual phosphorus load to mitigate is:</t>
  </si>
  <si>
    <t>The total annual nitrogen load to mitigate is:</t>
  </si>
  <si>
    <t>Your final phosphorus budget is:</t>
  </si>
  <si>
    <t>have pop up message if negative that says soemthing like "No P to mitigate</t>
  </si>
  <si>
    <t xml:space="preserve">If positive have message similar to the right </t>
  </si>
  <si>
    <t>The total amount of nitrogen to mitigate is:</t>
  </si>
  <si>
    <t>Look Up Tables</t>
  </si>
  <si>
    <t>Table 1: Stage 1 WwTW lookup</t>
  </si>
  <si>
    <t>Discharge Site Name</t>
  </si>
  <si>
    <t>Phosphorus, Total as P (mg/l)</t>
  </si>
  <si>
    <t>Nitrogen, Total as N (mg/l)</t>
  </si>
  <si>
    <t>Phosphorus, Total as P (mg/l), permit post 2025</t>
  </si>
  <si>
    <t>Nitrogen, Total as N (mg/l), permit post 2025</t>
  </si>
  <si>
    <t>Nitrogen Total as N (mg/l) with deductible acceptable loading</t>
  </si>
  <si>
    <t>Nitrogen Total as N (mg/l), permit post 2025 with deductible acceptable loading</t>
  </si>
  <si>
    <t>Chickenhall Eastleigh WwTW</t>
  </si>
  <si>
    <t>Morestead WwTW</t>
  </si>
  <si>
    <t>New Alresford WwTW</t>
  </si>
  <si>
    <t>Package Treatment Plant default</t>
  </si>
  <si>
    <t>Septic Tank default</t>
  </si>
  <si>
    <t>Package Treatment Plant user defined</t>
  </si>
  <si>
    <t>Septic Tank user defined</t>
  </si>
  <si>
    <t>Table 2: Stage 2 and 3 Landcover lookup</t>
  </si>
  <si>
    <t>Catchment</t>
  </si>
  <si>
    <t>Farmscoper Farm Term</t>
  </si>
  <si>
    <t>NVZ</t>
  </si>
  <si>
    <t>Climate</t>
  </si>
  <si>
    <t>Farmscoper Soil Drainage Term</t>
  </si>
  <si>
    <t>Lookup</t>
  </si>
  <si>
    <t>Phosphorus export coefficient</t>
  </si>
  <si>
    <t>Nitrogen export coefficient</t>
  </si>
  <si>
    <t>Farm Lookup</t>
  </si>
  <si>
    <t>Mean P export of farm type and climate combination</t>
  </si>
  <si>
    <t>Mean N export of farm type and climate combination</t>
  </si>
  <si>
    <t>Mean P export of farm type</t>
  </si>
  <si>
    <t>Mean N export of farm type</t>
  </si>
  <si>
    <t>Itchen</t>
  </si>
  <si>
    <t>Cereals</t>
  </si>
  <si>
    <t>700to900</t>
  </si>
  <si>
    <t>FreeDrain</t>
  </si>
  <si>
    <t>DrainedAr</t>
  </si>
  <si>
    <t>DrainedArGr</t>
  </si>
  <si>
    <t>900to1200</t>
  </si>
  <si>
    <t>General</t>
  </si>
  <si>
    <t>Horticulture</t>
  </si>
  <si>
    <t>Poultry</t>
  </si>
  <si>
    <t>Dairy</t>
  </si>
  <si>
    <t>Lowland</t>
  </si>
  <si>
    <t>Mixed</t>
  </si>
  <si>
    <t>Test Lower and Southampton Streams</t>
  </si>
  <si>
    <t>Pig</t>
  </si>
  <si>
    <t>Test Upper and Middle</t>
  </si>
  <si>
    <t>Hortic</t>
  </si>
  <si>
    <t>-</t>
  </si>
  <si>
    <t>Greenspace</t>
  </si>
  <si>
    <t>Woodland</t>
  </si>
  <si>
    <t>Shrub</t>
  </si>
  <si>
    <t>Water</t>
  </si>
  <si>
    <t>Commercial/industrial urban land</t>
  </si>
  <si>
    <t>Open urban land</t>
  </si>
  <si>
    <t>Table 3: Stage 2 and 3 Rainfall / Urban Lookup</t>
  </si>
  <si>
    <t>Rainfall band</t>
  </si>
  <si>
    <t>Mid</t>
  </si>
  <si>
    <t>Farmscoper Equivalent</t>
  </si>
  <si>
    <t xml:space="preserve">P Urban Runoff Coefficient </t>
  </si>
  <si>
    <t>N Urban Runoff Coefficient (kg/ha/yr)</t>
  </si>
  <si>
    <t>Residential P export coefficient (kg/ha/yr)</t>
  </si>
  <si>
    <t>Commercial / industrial P export coefficient (kg/ha/yr)</t>
  </si>
  <si>
    <t>Open urban P export coefficient (kg/ha/yr)</t>
  </si>
  <si>
    <t>Residential N export coefficient (kg/ha/yr)</t>
  </si>
  <si>
    <t>Commercial / industrial N export coefficient (kg/ha/yr)</t>
  </si>
  <si>
    <t>Open urban N export coefficient (kg/ha/yr)</t>
  </si>
  <si>
    <t>508 - 525</t>
  </si>
  <si>
    <t>Under600</t>
  </si>
  <si>
    <t>525.1 - 550</t>
  </si>
  <si>
    <t>550.1 - 575</t>
  </si>
  <si>
    <t>575.1 - 600</t>
  </si>
  <si>
    <t>600.1 - 625</t>
  </si>
  <si>
    <t>600to700</t>
  </si>
  <si>
    <t>625.1 - 650</t>
  </si>
  <si>
    <t>650.1 - 675</t>
  </si>
  <si>
    <t>675.1 - 700</t>
  </si>
  <si>
    <t>700.1 - 750</t>
  </si>
  <si>
    <t>750.1 - 800</t>
  </si>
  <si>
    <t>800.1 - 850</t>
  </si>
  <si>
    <t>850.1 - 900</t>
  </si>
  <si>
    <t>900.1 - 950</t>
  </si>
  <si>
    <t>950.1 - 1,000</t>
  </si>
  <si>
    <t>1,000.1 - 1,100</t>
  </si>
  <si>
    <t>1,100.1 - 1,200</t>
  </si>
  <si>
    <t>1,200.1 - 1,400</t>
  </si>
  <si>
    <t>1200to1500</t>
  </si>
  <si>
    <t>1,400.1 - 1,600</t>
  </si>
  <si>
    <t>1,600.1 - 2,000</t>
  </si>
  <si>
    <t>Over1500</t>
  </si>
  <si>
    <t>2,000.1 - 2,400</t>
  </si>
  <si>
    <t>2,400.1 - 3,000</t>
  </si>
  <si>
    <t>3,000.1 - 4,000</t>
  </si>
  <si>
    <t>4,000.1 - 5,500</t>
  </si>
  <si>
    <t>Table 4: Stage 2 and 3 Catchment Lookup</t>
  </si>
  <si>
    <t>Table 7: Stage 2 and 3 Landcovers</t>
  </si>
  <si>
    <t>Table 8: Stage 2 and 3 Landcover lookup</t>
  </si>
  <si>
    <t>Operational Catchment</t>
  </si>
  <si>
    <t>Farmscoper equivalent</t>
  </si>
  <si>
    <t>All Possible Landcover Types</t>
  </si>
  <si>
    <t>Itchen Specific Landcover Types</t>
  </si>
  <si>
    <t>Table 5: Stage 2 and 3 Soil Drainage Lookup</t>
  </si>
  <si>
    <t>Soilscape drainage term</t>
  </si>
  <si>
    <t>Farmscoper term</t>
  </si>
  <si>
    <t>Definition</t>
  </si>
  <si>
    <t>Freely draining</t>
  </si>
  <si>
    <t>Free Draining</t>
  </si>
  <si>
    <t>Slightly impeded drainage</t>
  </si>
  <si>
    <t>Drained for arable</t>
  </si>
  <si>
    <t>LFA</t>
  </si>
  <si>
    <t>Impeded drainage</t>
  </si>
  <si>
    <t>Drained for arable and grassland</t>
  </si>
  <si>
    <t>Variable</t>
  </si>
  <si>
    <t>Surface Wetness</t>
  </si>
  <si>
    <t>Naturally wet</t>
  </si>
  <si>
    <t>Table 6: Stage 2 and 3 NVZ Lookup</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</si>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</sst>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name val="Calibri"/>
      <family val="2"/>
      <scheme val="minor"/>
    </font>
    <font>
      <u/>
      <sz val="11"/>
      <color theme="10"/>
      <name val="Calibri"/>
      <family val="2"/>
      <scheme val="minor"/>
    </font>
    <font>
      <sz val="11"/>
      <color theme="1"/>
      <name val="Gill Sans MT"/>
      <family val="2"/>
    </font>
    <font>
      <b/>
      <sz val="11"/>
      <color theme="0"/>
      <name val="Gill Sans MT"/>
      <family val="2"/>
    </font>
    <font>
      <b/>
      <sz val="11"/>
      <color theme="1"/>
      <name val="Gill Sans MT"/>
      <family val="2"/>
    </font>
    <font>
      <b/>
      <sz val="11"/>
      <color theme="1"/>
      <name val="Calibri"/>
      <family val="2"/>
      <scheme val="minor"/>
    </font>
    <font>
      <sz val="11"/>
      <name val="Gill Sans MT"/>
      <family val="2"/>
    </font>
    <font>
      <b/>
      <sz val="11"/>
      <color theme="1"/>
      <name val="Arial"/>
      <family val="2"/>
    </font>
    <font>
      <b/>
      <sz val="11"/>
      <name val="Arial"/>
      <family val="2"/>
    </font>
    <font>
      <sz val="11"/>
      <name val="Arial"/>
      <family val="2"/>
    </font>
    <font>
      <sz val="11"/>
      <color theme="0"/>
      <name val="Gill Sans MT"/>
      <family val="2"/>
    </font>
    <font>
      <sz val="11"/>
      <color theme="1"/>
      <name val="Arial"/>
      <family val="2"/>
    </font>
    <font>
      <sz val="11"/>
      <color rgb="FF000000"/>
      <name val="Arial"/>
      <family val="2"/>
    </font>
    <font>
      <sz val="11"/>
      <color theme="1" tint="4.9989318521683403E-2"/>
      <name val="Arial"/>
      <family val="2"/>
    </font>
    <font>
      <b/>
      <sz val="11"/>
      <name val="Calibri"/>
      <family val="2"/>
      <scheme val="minor"/>
    </font>
    <font>
      <b/>
      <sz val="12"/>
      <color theme="1"/>
      <name val="Arial"/>
      <family val="2"/>
    </font>
    <font>
      <u/>
      <sz val="11"/>
      <color theme="10"/>
      <name val="Segoe UI"/>
      <family val="2"/>
    </font>
    <font>
      <sz val="11"/>
      <color rgb="FF242424"/>
      <name val="Segoe UI"/>
      <family val="2"/>
    </font>
    <font>
      <sz val="11"/>
      <color theme="1" tint="0.14999847407452621"/>
      <name val="Calibri"/>
      <family val="2"/>
      <scheme val="minor"/>
    </font>
    <font>
      <sz val="11"/>
      <color theme="0"/>
      <name val="Calibri"/>
      <family val="2"/>
      <scheme val="minor"/>
    </font>
    <font>
      <b/>
      <sz val="14"/>
      <color theme="1"/>
      <name val="Arial"/>
      <family val="2"/>
    </font>
    <font>
      <b/>
      <sz val="11"/>
      <color theme="1"/>
      <name val="Century Gothic"/>
      <family val="2"/>
    </font>
    <font>
      <sz val="11"/>
      <color theme="1" tint="0.14999847407452621"/>
      <name val="Arial"/>
      <family val="2"/>
    </font>
    <font>
      <b/>
      <sz val="11"/>
      <color theme="1" tint="0.14999847407452621"/>
      <name val="Arial"/>
      <family val="2"/>
    </font>
    <font>
      <sz val="12"/>
      <color theme="1"/>
      <name val="Century Gothic"/>
      <family val="2"/>
    </font>
    <font>
      <sz val="8"/>
      <color theme="2" tint="-0.249977111117893"/>
      <name val="Calibri"/>
      <family val="2"/>
      <scheme val="minor"/>
    </font>
    <font>
      <b/>
      <i/>
      <sz val="8"/>
      <color theme="2" tint="-0.249977111117893"/>
      <name val="Calibri"/>
      <family val="2"/>
      <scheme val="minor"/>
    </font>
    <font>
      <i/>
      <sz val="8"/>
      <color theme="2" tint="-0.249977111117893"/>
      <name val="Calibri"/>
      <family val="2"/>
      <scheme val="minor"/>
    </font>
    <font>
      <sz val="8"/>
      <name val="Calibri"/>
      <family val="2"/>
      <scheme val="minor"/>
    </font>
    <font>
      <b/>
      <u/>
      <sz val="14"/>
      <color rgb="FF000000"/>
      <name val="Arial"/>
      <family val="2"/>
    </font>
    <font>
      <b/>
      <sz val="11"/>
      <color rgb="FF000000"/>
      <name val="Arial"/>
      <family val="2"/>
    </font>
    <font>
      <u/>
      <sz val="11"/>
      <color theme="10"/>
      <name val="Arial"/>
      <family val="2"/>
    </font>
    <font>
      <b/>
      <sz val="18"/>
      <color theme="0"/>
      <name val="Century Gothic"/>
      <family val="2"/>
    </font>
    <font>
      <sz val="12"/>
      <color rgb="FF000000"/>
      <name val="Arial"/>
      <family val="2"/>
    </font>
    <font>
      <b/>
      <sz val="14"/>
      <color theme="1"/>
      <name val="Century Gothic"/>
      <family val="2"/>
    </font>
    <font>
      <b/>
      <sz val="24"/>
      <color theme="0"/>
      <name val="Century Gothic"/>
      <family val="2"/>
    </font>
    <font>
      <sz val="24"/>
      <color theme="0"/>
      <name val="Century Gothic"/>
      <family val="2"/>
    </font>
    <font>
      <sz val="11"/>
      <color theme="6" tint="0.79998168889431442"/>
      <name val="Calibri"/>
      <family val="2"/>
      <scheme val="minor"/>
    </font>
    <font>
      <sz val="11"/>
      <color theme="6" tint="0.79998168889431442"/>
      <name val="Gill Sans MT"/>
      <family val="2"/>
    </font>
    <font>
      <sz val="11"/>
      <color theme="0"/>
      <name val="Arial"/>
      <family val="2"/>
    </font>
  </fonts>
  <fills count="8">
    <fill>
      <patternFill patternType="none"/>
    </fill>
    <fill>
      <patternFill patternType="gray125"/>
    </fill>
    <fill>
      <patternFill patternType="solid">
        <fgColor theme="0"/>
        <bgColor indexed="64"/>
      </patternFill>
    </fill>
    <fill>
      <patternFill patternType="solid">
        <fgColor rgb="FF9DD3BE"/>
        <bgColor indexed="64"/>
      </patternFill>
    </fill>
    <fill>
      <patternFill patternType="solid">
        <fgColor rgb="FFF7E8BE"/>
        <bgColor indexed="64"/>
      </patternFill>
    </fill>
    <fill>
      <patternFill patternType="solid">
        <fgColor theme="6" tint="0.79998168889431442"/>
        <bgColor indexed="64"/>
      </patternFill>
    </fill>
    <fill>
      <patternFill patternType="solid">
        <fgColor rgb="FF449669"/>
        <bgColor indexed="64"/>
      </patternFill>
    </fill>
    <fill>
      <patternFill patternType="solid">
        <fgColor rgb="FFEDEDED"/>
        <bgColor indexed="64"/>
      </patternFill>
    </fill>
  </fills>
  <borders count="24">
    <border>
      <left/>
      <right/>
      <top/>
      <bottom/>
      <diagonal/>
    </border>
    <border>
      <left/>
      <right/>
      <top/>
      <bottom style="thick">
        <color rgb="FF449669"/>
      </bottom>
      <diagonal/>
    </border>
    <border>
      <left/>
      <right style="thick">
        <color rgb="FF449669"/>
      </right>
      <top/>
      <bottom/>
      <diagonal/>
    </border>
    <border>
      <left/>
      <right style="thick">
        <color rgb="FF449669"/>
      </right>
      <top/>
      <bottom style="thick">
        <color rgb="FF449669"/>
      </bottom>
      <diagonal/>
    </border>
    <border>
      <left/>
      <right/>
      <top style="thick">
        <color rgb="FF449669"/>
      </top>
      <bottom style="thick">
        <color rgb="FF449669"/>
      </bottom>
      <diagonal/>
    </border>
    <border>
      <left style="thick">
        <color rgb="FF449669"/>
      </left>
      <right style="thick">
        <color rgb="FF449669"/>
      </right>
      <top/>
      <bottom/>
      <diagonal/>
    </border>
    <border>
      <left style="thick">
        <color rgb="FF449669"/>
      </left>
      <right style="thick">
        <color rgb="FF449669"/>
      </right>
      <top/>
      <bottom style="thick">
        <color rgb="FF449669"/>
      </bottom>
      <diagonal/>
    </border>
    <border>
      <left/>
      <right/>
      <top style="thick">
        <color rgb="FF449669"/>
      </top>
      <bottom/>
      <diagonal/>
    </border>
    <border>
      <left style="thick">
        <color rgb="FF449669"/>
      </left>
      <right/>
      <top style="thick">
        <color rgb="FF449669"/>
      </top>
      <bottom/>
      <diagonal/>
    </border>
    <border>
      <left/>
      <right style="thick">
        <color rgb="FF449669"/>
      </right>
      <top style="thick">
        <color rgb="FF449669"/>
      </top>
      <bottom/>
      <diagonal/>
    </border>
    <border>
      <left style="thick">
        <color rgb="FF449669"/>
      </left>
      <right/>
      <top/>
      <bottom/>
      <diagonal/>
    </border>
    <border>
      <left style="thick">
        <color rgb="FF449669"/>
      </left>
      <right/>
      <top/>
      <bottom style="thick">
        <color rgb="FF449669"/>
      </bottom>
      <diagonal/>
    </border>
    <border>
      <left/>
      <right/>
      <top/>
      <bottom style="medium">
        <color rgb="FF449669"/>
      </bottom>
      <diagonal/>
    </border>
    <border>
      <left/>
      <right/>
      <top style="medium">
        <color rgb="FF449669"/>
      </top>
      <bottom/>
      <diagonal/>
    </border>
    <border>
      <left/>
      <right/>
      <top style="medium">
        <color rgb="FF449669"/>
      </top>
      <bottom style="medium">
        <color rgb="FF449669"/>
      </bottom>
      <diagonal/>
    </border>
    <border>
      <left/>
      <right style="medium">
        <color rgb="FF449669"/>
      </right>
      <top/>
      <bottom/>
      <diagonal/>
    </border>
    <border>
      <left style="medium">
        <color rgb="FF449669"/>
      </left>
      <right style="medium">
        <color rgb="FF449669"/>
      </right>
      <top/>
      <bottom/>
      <diagonal/>
    </border>
    <border>
      <left/>
      <right style="medium">
        <color rgb="FF449669"/>
      </right>
      <top/>
      <bottom style="medium">
        <color rgb="FF449669"/>
      </bottom>
      <diagonal/>
    </border>
    <border>
      <left style="medium">
        <color rgb="FF449669"/>
      </left>
      <right style="medium">
        <color rgb="FF449669"/>
      </right>
      <top/>
      <bottom style="medium">
        <color rgb="FF449669"/>
      </bottom>
      <diagonal/>
    </border>
    <border>
      <left/>
      <right style="medium">
        <color rgb="FF449669"/>
      </right>
      <top style="medium">
        <color rgb="FF449669"/>
      </top>
      <bottom/>
      <diagonal/>
    </border>
    <border>
      <left style="medium">
        <color rgb="FF449669"/>
      </left>
      <right/>
      <top/>
      <bottom/>
      <diagonal/>
    </border>
    <border>
      <left style="thick">
        <color rgb="FF449669"/>
      </left>
      <right style="thick">
        <color rgb="FF449669"/>
      </right>
      <top style="thick">
        <color rgb="FF449669"/>
      </top>
      <bottom/>
      <diagonal/>
    </border>
    <border>
      <left style="medium">
        <color rgb="FF449669"/>
      </left>
      <right style="medium">
        <color rgb="FF449669"/>
      </right>
      <top style="medium">
        <color rgb="FF449669"/>
      </top>
      <bottom/>
      <diagonal/>
    </border>
    <border>
      <left style="medium">
        <color rgb="FF449669"/>
      </left>
      <right/>
      <top/>
      <bottom style="medium">
        <color rgb="FF449669"/>
      </bottom>
      <diagonal/>
    </border>
  </borders>
  <cellStyleXfs count="2">
    <xf numFmtId="0" fontId="0" fillId="0" borderId="0"/>
    <xf numFmtId="0" fontId="2" fillId="0" borderId="0" applyNumberFormat="0" applyFill="0" applyBorder="0" applyAlignment="0" applyProtection="0"/>
  </cellStyleXfs>
  <cellXfs count="285">
    <xf numFmtId="0" fontId="0" fillId="0" borderId="0" xfId="0"/>
    <xf numFmtId="0" fontId="0" fillId="2" borderId="0" xfId="0" applyFill="1"/>
    <xf numFmtId="0" fontId="1" fillId="2" borderId="0" xfId="0" applyFont="1" applyFill="1"/>
    <xf numFmtId="0" fontId="3" fillId="2" borderId="0" xfId="0" applyFont="1" applyFill="1" applyAlignment="1">
      <alignment horizontal="left"/>
    </xf>
    <xf numFmtId="0" fontId="4" fillId="2" borderId="0" xfId="0" applyFont="1" applyFill="1" applyAlignment="1">
      <alignment horizontal="left"/>
    </xf>
    <xf numFmtId="0" fontId="5" fillId="2" borderId="0" xfId="0" applyFont="1" applyFill="1" applyAlignment="1">
      <alignment horizontal="left"/>
    </xf>
    <xf numFmtId="14" fontId="3" fillId="2" borderId="0" xfId="0" applyNumberFormat="1" applyFont="1" applyFill="1" applyAlignment="1">
      <alignment vertical="center" wrapText="1"/>
    </xf>
    <xf numFmtId="0" fontId="3" fillId="2" borderId="0" xfId="0" applyFont="1" applyFill="1" applyAlignment="1">
      <alignment vertical="center"/>
    </xf>
    <xf numFmtId="0" fontId="3" fillId="2" borderId="0" xfId="0" applyFont="1" applyFill="1" applyAlignment="1">
      <alignment vertical="center" wrapText="1"/>
    </xf>
    <xf numFmtId="0" fontId="3" fillId="2" borderId="0" xfId="0" applyFont="1" applyFill="1" applyAlignment="1">
      <alignment horizontal="left" vertical="center"/>
    </xf>
    <xf numFmtId="0" fontId="5" fillId="2" borderId="0" xfId="0" applyFont="1" applyFill="1" applyAlignment="1">
      <alignment horizontal="left" vertical="center"/>
    </xf>
    <xf numFmtId="0" fontId="3" fillId="2" borderId="0" xfId="0" applyFont="1" applyFill="1" applyAlignment="1">
      <alignment horizontal="center" vertical="center"/>
    </xf>
    <xf numFmtId="2" fontId="3" fillId="2" borderId="0" xfId="0" applyNumberFormat="1" applyFont="1" applyFill="1" applyAlignment="1">
      <alignment horizontal="center" vertical="center"/>
    </xf>
    <xf numFmtId="2" fontId="5" fillId="2" borderId="0" xfId="0" applyNumberFormat="1" applyFont="1" applyFill="1" applyAlignment="1">
      <alignment horizontal="center" vertical="center"/>
    </xf>
    <xf numFmtId="0" fontId="8" fillId="2" borderId="1" xfId="0" applyFont="1" applyFill="1" applyBorder="1"/>
    <xf numFmtId="0" fontId="9" fillId="2" borderId="0" xfId="0" applyFont="1" applyFill="1" applyAlignment="1">
      <alignment horizontal="left" vertical="center" wrapText="1"/>
    </xf>
    <xf numFmtId="0" fontId="9" fillId="2" borderId="4" xfId="0" applyFont="1" applyFill="1" applyBorder="1" applyAlignment="1">
      <alignment horizontal="left" vertical="center" wrapText="1"/>
    </xf>
    <xf numFmtId="0" fontId="9" fillId="2" borderId="7" xfId="0" applyFont="1" applyFill="1" applyBorder="1" applyAlignment="1">
      <alignment horizontal="left" vertical="center" wrapText="1"/>
    </xf>
    <xf numFmtId="2" fontId="12" fillId="2" borderId="0" xfId="0" applyNumberFormat="1" applyFont="1" applyFill="1" applyAlignment="1">
      <alignment horizontal="center" vertical="center"/>
    </xf>
    <xf numFmtId="0" fontId="8" fillId="2" borderId="0" xfId="0" applyFont="1" applyFill="1" applyAlignment="1">
      <alignment horizontal="left" vertical="center"/>
    </xf>
    <xf numFmtId="2" fontId="8" fillId="4" borderId="0" xfId="0" applyNumberFormat="1" applyFont="1" applyFill="1" applyAlignment="1">
      <alignment horizontal="center" vertical="center"/>
    </xf>
    <xf numFmtId="2" fontId="8" fillId="2" borderId="0" xfId="0" applyNumberFormat="1" applyFont="1" applyFill="1" applyAlignment="1">
      <alignment horizontal="center" vertical="center"/>
    </xf>
    <xf numFmtId="0" fontId="12" fillId="2" borderId="0" xfId="0" applyFont="1" applyFill="1"/>
    <xf numFmtId="2" fontId="12" fillId="4" borderId="1" xfId="0" applyNumberFormat="1" applyFont="1" applyFill="1" applyBorder="1" applyAlignment="1">
      <alignment horizontal="left" vertical="center" wrapText="1"/>
    </xf>
    <xf numFmtId="14" fontId="12" fillId="2" borderId="0" xfId="0" applyNumberFormat="1"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vertical="center" wrapText="1"/>
    </xf>
    <xf numFmtId="0" fontId="12" fillId="2" borderId="0" xfId="0" applyFont="1" applyFill="1" applyAlignment="1">
      <alignment horizontal="left" vertical="center"/>
    </xf>
    <xf numFmtId="2" fontId="12" fillId="2" borderId="0" xfId="0" applyNumberFormat="1" applyFont="1" applyFill="1" applyAlignment="1">
      <alignment horizontal="left" vertical="center"/>
    </xf>
    <xf numFmtId="0" fontId="10" fillId="2" borderId="0" xfId="0" applyFont="1" applyFill="1" applyAlignment="1">
      <alignment horizontal="left" vertical="center"/>
    </xf>
    <xf numFmtId="0" fontId="12" fillId="5" borderId="0" xfId="0" applyFont="1" applyFill="1"/>
    <xf numFmtId="0" fontId="9" fillId="5" borderId="6" xfId="0" applyFont="1" applyFill="1" applyBorder="1" applyAlignment="1">
      <alignment horizontal="left" vertical="center"/>
    </xf>
    <xf numFmtId="0" fontId="9" fillId="5" borderId="3" xfId="0" applyFont="1" applyFill="1" applyBorder="1" applyAlignment="1">
      <alignment horizontal="left" vertical="center"/>
    </xf>
    <xf numFmtId="0" fontId="9" fillId="5" borderId="3" xfId="0" applyFont="1" applyFill="1" applyBorder="1" applyAlignment="1">
      <alignment horizontal="left" vertical="center" wrapText="1"/>
    </xf>
    <xf numFmtId="0" fontId="12" fillId="5" borderId="2" xfId="0" applyFont="1" applyFill="1" applyBorder="1" applyAlignment="1">
      <alignment horizontal="left" vertical="center"/>
    </xf>
    <xf numFmtId="2" fontId="12" fillId="5" borderId="0" xfId="0" applyNumberFormat="1" applyFont="1" applyFill="1" applyAlignment="1">
      <alignment horizontal="left" vertical="center"/>
    </xf>
    <xf numFmtId="0" fontId="8" fillId="5" borderId="1" xfId="0" applyFont="1" applyFill="1" applyBorder="1" applyAlignment="1">
      <alignment horizontal="left" vertical="center"/>
    </xf>
    <xf numFmtId="0" fontId="12" fillId="5" borderId="0" xfId="0" applyFont="1" applyFill="1" applyAlignment="1">
      <alignment horizontal="left" vertical="center"/>
    </xf>
    <xf numFmtId="0" fontId="13" fillId="5" borderId="0" xfId="0" applyFont="1" applyFill="1" applyAlignment="1">
      <alignment horizontal="left" vertical="center"/>
    </xf>
    <xf numFmtId="0" fontId="9" fillId="5" borderId="11" xfId="0" applyFont="1" applyFill="1" applyBorder="1" applyAlignment="1">
      <alignment horizontal="left" vertical="center" wrapText="1"/>
    </xf>
    <xf numFmtId="0" fontId="12" fillId="5" borderId="10" xfId="0" applyFont="1" applyFill="1" applyBorder="1" applyAlignment="1">
      <alignment horizontal="left" vertical="center"/>
    </xf>
    <xf numFmtId="0" fontId="9" fillId="5" borderId="11" xfId="0" applyFont="1" applyFill="1" applyBorder="1" applyAlignment="1">
      <alignment horizontal="left" vertical="center"/>
    </xf>
    <xf numFmtId="49" fontId="12" fillId="5" borderId="2" xfId="0" applyNumberFormat="1" applyFont="1" applyFill="1" applyBorder="1" applyAlignment="1">
      <alignment horizontal="left" vertical="center"/>
    </xf>
    <xf numFmtId="0" fontId="12" fillId="5" borderId="5" xfId="0" applyFont="1" applyFill="1" applyBorder="1" applyAlignment="1">
      <alignment horizontal="left" vertical="center"/>
    </xf>
    <xf numFmtId="2" fontId="12" fillId="5" borderId="8" xfId="0" applyNumberFormat="1" applyFont="1" applyFill="1" applyBorder="1" applyAlignment="1">
      <alignment horizontal="left" vertical="center"/>
    </xf>
    <xf numFmtId="2" fontId="12" fillId="5" borderId="10" xfId="0" applyNumberFormat="1" applyFont="1" applyFill="1" applyBorder="1" applyAlignment="1">
      <alignment horizontal="left" vertical="center"/>
    </xf>
    <xf numFmtId="0" fontId="9" fillId="5" borderId="6" xfId="0" applyFont="1" applyFill="1" applyBorder="1" applyAlignment="1">
      <alignment horizontal="left" vertical="center" wrapText="1"/>
    </xf>
    <xf numFmtId="0" fontId="10" fillId="5" borderId="2" xfId="0" applyFont="1" applyFill="1" applyBorder="1" applyAlignment="1">
      <alignment horizontal="left" vertical="center"/>
    </xf>
    <xf numFmtId="2" fontId="12" fillId="5" borderId="9" xfId="0" applyNumberFormat="1" applyFont="1" applyFill="1" applyBorder="1" applyAlignment="1">
      <alignment horizontal="left" vertical="center"/>
    </xf>
    <xf numFmtId="2" fontId="12" fillId="5" borderId="2" xfId="0" applyNumberFormat="1" applyFont="1" applyFill="1" applyBorder="1" applyAlignment="1">
      <alignment horizontal="left" vertical="center"/>
    </xf>
    <xf numFmtId="0" fontId="10" fillId="5" borderId="5" xfId="0" applyFont="1" applyFill="1" applyBorder="1" applyAlignment="1">
      <alignment horizontal="left" vertical="center"/>
    </xf>
    <xf numFmtId="2" fontId="10" fillId="4" borderId="1" xfId="0" applyNumberFormat="1" applyFont="1" applyFill="1" applyBorder="1" applyAlignment="1">
      <alignment horizontal="left" vertical="center"/>
    </xf>
    <xf numFmtId="2" fontId="12" fillId="4" borderId="4" xfId="0" applyNumberFormat="1" applyFont="1" applyFill="1" applyBorder="1" applyAlignment="1">
      <alignment horizontal="left" vertical="center"/>
    </xf>
    <xf numFmtId="2" fontId="12" fillId="4" borderId="7" xfId="0" applyNumberFormat="1" applyFont="1" applyFill="1" applyBorder="1" applyAlignment="1">
      <alignment horizontal="left" vertical="center" wrapText="1"/>
    </xf>
    <xf numFmtId="2" fontId="8" fillId="2" borderId="0" xfId="0" applyNumberFormat="1" applyFont="1" applyFill="1" applyAlignment="1">
      <alignment vertical="center"/>
    </xf>
    <xf numFmtId="0" fontId="15" fillId="2" borderId="0" xfId="0" applyFont="1" applyFill="1" applyAlignment="1">
      <alignment horizontal="left" vertical="center" wrapText="1"/>
    </xf>
    <xf numFmtId="0" fontId="12" fillId="4" borderId="0" xfId="0" applyFont="1" applyFill="1" applyAlignment="1">
      <alignment horizontal="center" vertical="center"/>
    </xf>
    <xf numFmtId="0" fontId="12" fillId="2" borderId="12" xfId="0" applyFont="1" applyFill="1" applyBorder="1" applyAlignment="1">
      <alignment horizontal="left" vertical="center"/>
    </xf>
    <xf numFmtId="0" fontId="12" fillId="4" borderId="12" xfId="0" applyFont="1" applyFill="1" applyBorder="1" applyAlignment="1">
      <alignment horizontal="center" vertical="center"/>
    </xf>
    <xf numFmtId="0" fontId="12" fillId="2" borderId="13" xfId="0" applyFont="1" applyFill="1" applyBorder="1" applyAlignment="1">
      <alignment horizontal="left" vertical="center"/>
    </xf>
    <xf numFmtId="0" fontId="8" fillId="2" borderId="13" xfId="0" applyFont="1" applyFill="1" applyBorder="1" applyAlignment="1">
      <alignment horizontal="left" vertical="center"/>
    </xf>
    <xf numFmtId="2" fontId="12" fillId="4" borderId="13" xfId="0" applyNumberFormat="1" applyFont="1" applyFill="1" applyBorder="1" applyAlignment="1">
      <alignment horizontal="center" vertical="center"/>
    </xf>
    <xf numFmtId="2" fontId="8" fillId="4" borderId="13" xfId="0" applyNumberFormat="1" applyFont="1" applyFill="1" applyBorder="1" applyAlignment="1">
      <alignment horizontal="center" vertical="center"/>
    </xf>
    <xf numFmtId="0" fontId="12" fillId="2" borderId="14" xfId="0" applyFont="1" applyFill="1" applyBorder="1" applyAlignment="1">
      <alignment horizontal="left" vertical="center"/>
    </xf>
    <xf numFmtId="0" fontId="12" fillId="4" borderId="14" xfId="0" applyFont="1" applyFill="1" applyBorder="1" applyAlignment="1">
      <alignment horizontal="center" vertical="center"/>
    </xf>
    <xf numFmtId="2" fontId="12" fillId="4" borderId="14" xfId="0" applyNumberFormat="1" applyFont="1" applyFill="1" applyBorder="1" applyAlignment="1">
      <alignment horizontal="center" vertical="center"/>
    </xf>
    <xf numFmtId="0" fontId="9" fillId="2" borderId="13"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8" fillId="2" borderId="12" xfId="0" applyFont="1" applyFill="1" applyBorder="1"/>
    <xf numFmtId="0" fontId="9" fillId="2" borderId="14" xfId="0" applyFont="1" applyFill="1" applyBorder="1" applyAlignment="1">
      <alignment horizontal="left" vertical="center" wrapText="1"/>
    </xf>
    <xf numFmtId="0" fontId="15" fillId="2" borderId="12" xfId="0" applyFont="1" applyFill="1" applyBorder="1" applyAlignment="1">
      <alignment horizontal="left" vertical="center" wrapText="1"/>
    </xf>
    <xf numFmtId="0" fontId="8" fillId="2" borderId="15" xfId="0" applyFont="1" applyFill="1" applyBorder="1" applyAlignment="1">
      <alignment horizontal="right"/>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2" xfId="0" applyFont="1" applyFill="1" applyBorder="1" applyAlignment="1">
      <alignment horizontal="left" vertical="center" wrapText="1"/>
    </xf>
    <xf numFmtId="0" fontId="8" fillId="2" borderId="19" xfId="0" applyFont="1" applyFill="1" applyBorder="1" applyAlignment="1">
      <alignment horizontal="right"/>
    </xf>
    <xf numFmtId="0" fontId="8" fillId="2" borderId="17" xfId="0" applyFont="1" applyFill="1" applyBorder="1" applyAlignment="1">
      <alignment horizontal="left" vertical="center"/>
    </xf>
    <xf numFmtId="2" fontId="8" fillId="4" borderId="0" xfId="0" applyNumberFormat="1" applyFont="1" applyFill="1" applyAlignment="1">
      <alignment horizontal="left"/>
    </xf>
    <xf numFmtId="2" fontId="8" fillId="4" borderId="16" xfId="0" applyNumberFormat="1" applyFont="1" applyFill="1" applyBorder="1" applyAlignment="1">
      <alignment horizontal="left"/>
    </xf>
    <xf numFmtId="2" fontId="8" fillId="4" borderId="18" xfId="0" applyNumberFormat="1" applyFont="1" applyFill="1" applyBorder="1" applyAlignment="1">
      <alignment horizontal="left"/>
    </xf>
    <xf numFmtId="0" fontId="12" fillId="4" borderId="12" xfId="0" applyFont="1" applyFill="1" applyBorder="1" applyAlignment="1">
      <alignment horizontal="center" vertical="center" wrapText="1"/>
    </xf>
    <xf numFmtId="0" fontId="12" fillId="4" borderId="0" xfId="0" applyFont="1" applyFill="1" applyAlignment="1">
      <alignment horizontal="center" vertical="center" wrapText="1"/>
    </xf>
    <xf numFmtId="0" fontId="21" fillId="2" borderId="0" xfId="0" applyFont="1" applyFill="1" applyAlignment="1">
      <alignment vertical="center" wrapText="1"/>
    </xf>
    <xf numFmtId="14" fontId="8" fillId="2" borderId="0" xfId="0" applyNumberFormat="1" applyFont="1" applyFill="1" applyAlignment="1">
      <alignment vertical="center" wrapText="1"/>
    </xf>
    <xf numFmtId="0" fontId="8" fillId="2" borderId="0" xfId="0" applyFont="1" applyFill="1" applyAlignment="1">
      <alignment vertical="center" wrapText="1"/>
    </xf>
    <xf numFmtId="0" fontId="7" fillId="2" borderId="0" xfId="0" applyFont="1" applyFill="1" applyAlignment="1">
      <alignment horizontal="center" vertical="center" wrapText="1"/>
    </xf>
    <xf numFmtId="0" fontId="0" fillId="2" borderId="0" xfId="0" applyFill="1" applyAlignment="1">
      <alignment horizontal="left"/>
    </xf>
    <xf numFmtId="2" fontId="8" fillId="2" borderId="0" xfId="0" applyNumberFormat="1" applyFont="1" applyFill="1" applyAlignment="1">
      <alignment horizontal="left" vertical="center"/>
    </xf>
    <xf numFmtId="2" fontId="12" fillId="4" borderId="12" xfId="0" applyNumberFormat="1" applyFont="1" applyFill="1" applyBorder="1" applyAlignment="1">
      <alignment horizontal="center" vertical="center"/>
    </xf>
    <xf numFmtId="0" fontId="19" fillId="2" borderId="0" xfId="0" applyFont="1" applyFill="1"/>
    <xf numFmtId="0" fontId="19" fillId="2" borderId="0" xfId="0" applyFont="1" applyFill="1" applyAlignment="1">
      <alignment horizontal="left"/>
    </xf>
    <xf numFmtId="0" fontId="23" fillId="2" borderId="0" xfId="0" applyFont="1" applyFill="1" applyAlignment="1">
      <alignment horizontal="left" vertical="center"/>
    </xf>
    <xf numFmtId="2" fontId="23" fillId="2" borderId="0" xfId="0" applyNumberFormat="1" applyFont="1" applyFill="1" applyAlignment="1">
      <alignment horizontal="left" vertical="center"/>
    </xf>
    <xf numFmtId="0" fontId="24" fillId="2" borderId="0" xfId="0" applyFont="1" applyFill="1" applyAlignment="1">
      <alignment horizontal="left" vertical="center"/>
    </xf>
    <xf numFmtId="2" fontId="24" fillId="2" borderId="0" xfId="0" applyNumberFormat="1" applyFont="1" applyFill="1" applyAlignment="1">
      <alignment horizontal="left" vertical="center"/>
    </xf>
    <xf numFmtId="0" fontId="23" fillId="2" borderId="0" xfId="0" applyFont="1" applyFill="1" applyAlignment="1">
      <alignment horizontal="center" vertical="center"/>
    </xf>
    <xf numFmtId="2" fontId="23" fillId="2" borderId="0" xfId="0" applyNumberFormat="1" applyFont="1" applyFill="1" applyAlignment="1">
      <alignment horizontal="center" vertical="center"/>
    </xf>
    <xf numFmtId="2" fontId="24" fillId="2" borderId="0" xfId="0" applyNumberFormat="1" applyFont="1" applyFill="1" applyAlignment="1">
      <alignment horizontal="center" vertical="center"/>
    </xf>
    <xf numFmtId="2" fontId="10" fillId="4" borderId="12" xfId="0" applyNumberFormat="1" applyFont="1" applyFill="1" applyBorder="1" applyAlignment="1">
      <alignment horizontal="center" vertical="center"/>
    </xf>
    <xf numFmtId="2" fontId="12" fillId="4" borderId="14" xfId="0" quotePrefix="1" applyNumberFormat="1" applyFont="1" applyFill="1" applyBorder="1" applyAlignment="1">
      <alignment horizontal="center" vertical="center" wrapText="1"/>
    </xf>
    <xf numFmtId="2" fontId="12" fillId="4" borderId="0" xfId="0" applyNumberFormat="1" applyFont="1" applyFill="1" applyAlignment="1">
      <alignment horizontal="center" vertical="center" wrapText="1"/>
    </xf>
    <xf numFmtId="2" fontId="12" fillId="4" borderId="14" xfId="0" applyNumberFormat="1" applyFont="1" applyFill="1" applyBorder="1" applyAlignment="1">
      <alignment horizontal="center" vertical="center" wrapText="1"/>
    </xf>
    <xf numFmtId="0" fontId="8" fillId="4" borderId="16" xfId="0" applyFont="1" applyFill="1" applyBorder="1" applyAlignment="1">
      <alignment horizontal="right"/>
    </xf>
    <xf numFmtId="2" fontId="8" fillId="4" borderId="16" xfId="0" applyNumberFormat="1" applyFont="1" applyFill="1" applyBorder="1" applyAlignment="1">
      <alignment horizontal="right"/>
    </xf>
    <xf numFmtId="2" fontId="8" fillId="4" borderId="0" xfId="0" applyNumberFormat="1" applyFont="1" applyFill="1" applyAlignment="1">
      <alignment horizontal="right"/>
    </xf>
    <xf numFmtId="0" fontId="26" fillId="2" borderId="0" xfId="0" applyFont="1" applyFill="1" applyAlignment="1">
      <alignment wrapText="1"/>
    </xf>
    <xf numFmtId="14" fontId="14" fillId="3" borderId="12" xfId="0" applyNumberFormat="1" applyFont="1" applyFill="1" applyBorder="1" applyAlignment="1" applyProtection="1">
      <alignment horizontal="left" vertical="center"/>
      <protection locked="0"/>
    </xf>
    <xf numFmtId="2" fontId="14" fillId="3" borderId="14" xfId="0" applyNumberFormat="1" applyFont="1" applyFill="1" applyBorder="1" applyAlignment="1" applyProtection="1">
      <alignment horizontal="left" vertical="center" wrapText="1"/>
      <protection locked="0"/>
    </xf>
    <xf numFmtId="0" fontId="14" fillId="3" borderId="14" xfId="0" applyFont="1" applyFill="1" applyBorder="1" applyAlignment="1" applyProtection="1">
      <alignment horizontal="left" vertical="center"/>
      <protection locked="0"/>
    </xf>
    <xf numFmtId="0" fontId="14" fillId="3" borderId="0" xfId="0" applyFont="1" applyFill="1" applyAlignment="1" applyProtection="1">
      <alignment horizontal="left" vertical="center"/>
      <protection locked="0"/>
    </xf>
    <xf numFmtId="0" fontId="12" fillId="3" borderId="15" xfId="0" applyFont="1" applyFill="1" applyBorder="1" applyAlignment="1" applyProtection="1">
      <alignment horizontal="left"/>
      <protection locked="0"/>
    </xf>
    <xf numFmtId="2" fontId="12" fillId="3" borderId="18" xfId="0" applyNumberFormat="1" applyFont="1" applyFill="1" applyBorder="1" applyAlignment="1" applyProtection="1">
      <alignment horizontal="left"/>
      <protection locked="0"/>
    </xf>
    <xf numFmtId="14" fontId="10" fillId="3" borderId="12" xfId="0" applyNumberFormat="1" applyFont="1" applyFill="1" applyBorder="1" applyAlignment="1" applyProtection="1">
      <alignment horizontal="center" vertical="center"/>
      <protection locked="0"/>
    </xf>
    <xf numFmtId="2"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2" fillId="3" borderId="12" xfId="0" applyFont="1" applyFill="1" applyBorder="1" applyAlignment="1" applyProtection="1">
      <alignment horizontal="center" vertical="center" wrapText="1"/>
      <protection locked="0"/>
    </xf>
    <xf numFmtId="0" fontId="12" fillId="3" borderId="14" xfId="0" applyFont="1" applyFill="1" applyBorder="1" applyAlignment="1" applyProtection="1">
      <alignment horizontal="center" vertical="center" wrapText="1"/>
      <protection locked="0"/>
    </xf>
    <xf numFmtId="0" fontId="7" fillId="2" borderId="0" xfId="0" applyFont="1" applyFill="1" applyAlignment="1" applyProtection="1">
      <alignment vertical="center" wrapText="1"/>
      <protection locked="0"/>
    </xf>
    <xf numFmtId="2" fontId="10" fillId="3" borderId="15" xfId="0" applyNumberFormat="1" applyFont="1" applyFill="1" applyBorder="1" applyAlignment="1" applyProtection="1">
      <alignment horizontal="left"/>
      <protection locked="0"/>
    </xf>
    <xf numFmtId="2" fontId="10" fillId="3" borderId="15" xfId="0" applyNumberFormat="1" applyFont="1" applyFill="1" applyBorder="1" applyAlignment="1" applyProtection="1">
      <alignment horizontal="left" vertical="center"/>
      <protection locked="0"/>
    </xf>
    <xf numFmtId="2" fontId="9" fillId="3" borderId="15" xfId="0" applyNumberFormat="1" applyFont="1" applyFill="1" applyBorder="1" applyAlignment="1" applyProtection="1">
      <alignment horizontal="left" vertical="center"/>
      <protection locked="0"/>
    </xf>
    <xf numFmtId="0" fontId="12" fillId="3" borderId="17" xfId="0" applyFont="1" applyFill="1" applyBorder="1" applyAlignment="1" applyProtection="1">
      <alignment horizontal="left"/>
      <protection locked="0"/>
    </xf>
    <xf numFmtId="2" fontId="10" fillId="3" borderId="17" xfId="0" applyNumberFormat="1" applyFont="1" applyFill="1" applyBorder="1" applyAlignment="1" applyProtection="1">
      <alignment horizontal="left"/>
      <protection locked="0"/>
    </xf>
    <xf numFmtId="2" fontId="12" fillId="4" borderId="12" xfId="0" applyNumberFormat="1" applyFont="1" applyFill="1" applyBorder="1" applyAlignment="1">
      <alignment horizontal="left"/>
    </xf>
    <xf numFmtId="0" fontId="0" fillId="2" borderId="2" xfId="0" applyFill="1" applyBorder="1"/>
    <xf numFmtId="0" fontId="0" fillId="2" borderId="8" xfId="0" applyFill="1" applyBorder="1" applyAlignment="1">
      <alignment horizontal="left" vertical="top" indent="2"/>
    </xf>
    <xf numFmtId="0" fontId="0" fillId="2" borderId="7" xfId="0" applyFill="1" applyBorder="1" applyAlignment="1">
      <alignment horizontal="left" vertical="top" indent="2"/>
    </xf>
    <xf numFmtId="0" fontId="0" fillId="2" borderId="0" xfId="0" applyFill="1" applyAlignment="1">
      <alignment horizontal="left" vertical="top" indent="2"/>
    </xf>
    <xf numFmtId="0" fontId="0" fillId="2" borderId="10" xfId="0" applyFill="1" applyBorder="1" applyAlignment="1">
      <alignment horizontal="left" vertical="top" indent="2"/>
    </xf>
    <xf numFmtId="0" fontId="30" fillId="0" borderId="0" xfId="0" applyFont="1" applyAlignment="1">
      <alignment horizontal="left" vertical="top" indent="2"/>
    </xf>
    <xf numFmtId="0" fontId="0" fillId="3" borderId="0" xfId="0" applyFill="1" applyAlignment="1">
      <alignment horizontal="left" vertical="top" indent="2"/>
    </xf>
    <xf numFmtId="0" fontId="12" fillId="2" borderId="0" xfId="0" applyFont="1" applyFill="1" applyAlignment="1">
      <alignment horizontal="left" vertical="top" indent="2"/>
    </xf>
    <xf numFmtId="0" fontId="0" fillId="4" borderId="0" xfId="0" applyFill="1" applyAlignment="1">
      <alignment horizontal="left" vertical="top" indent="2"/>
    </xf>
    <xf numFmtId="0" fontId="0" fillId="5" borderId="0" xfId="0" applyFill="1" applyAlignment="1">
      <alignment horizontal="left" vertical="top" indent="2"/>
    </xf>
    <xf numFmtId="0" fontId="12" fillId="2" borderId="10" xfId="0" applyFont="1" applyFill="1" applyBorder="1" applyAlignment="1">
      <alignment horizontal="left" vertical="top" indent="2"/>
    </xf>
    <xf numFmtId="0" fontId="12" fillId="2" borderId="11" xfId="0" applyFont="1" applyFill="1" applyBorder="1" applyAlignment="1">
      <alignment horizontal="left" vertical="top" indent="2"/>
    </xf>
    <xf numFmtId="0" fontId="12" fillId="2" borderId="1" xfId="0" applyFont="1" applyFill="1" applyBorder="1" applyAlignment="1">
      <alignment horizontal="left" vertical="top" indent="2"/>
    </xf>
    <xf numFmtId="0" fontId="8" fillId="2" borderId="10" xfId="0" applyFont="1" applyFill="1" applyBorder="1" applyAlignment="1">
      <alignment horizontal="left" vertical="top" indent="2"/>
    </xf>
    <xf numFmtId="0" fontId="30" fillId="0" borderId="0" xfId="0" applyFont="1" applyAlignment="1">
      <alignment horizontal="left" vertical="center"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31" fillId="0" borderId="0" xfId="0" applyFont="1" applyAlignment="1">
      <alignment horizontal="left" vertical="top"/>
    </xf>
    <xf numFmtId="0" fontId="12" fillId="2" borderId="0" xfId="0" applyFont="1" applyFill="1" applyAlignment="1">
      <alignment horizontal="left" vertical="top"/>
    </xf>
    <xf numFmtId="2" fontId="12" fillId="5" borderId="5" xfId="0" applyNumberFormat="1" applyFont="1" applyFill="1" applyBorder="1" applyAlignment="1">
      <alignment horizontal="left" vertical="center"/>
    </xf>
    <xf numFmtId="0" fontId="8" fillId="4" borderId="15" xfId="0" applyFont="1" applyFill="1" applyBorder="1" applyAlignment="1">
      <alignment horizontal="right"/>
    </xf>
    <xf numFmtId="0" fontId="9" fillId="5" borderId="1" xfId="0" applyFont="1" applyFill="1" applyBorder="1" applyAlignment="1">
      <alignment horizontal="left" vertical="center" wrapText="1"/>
    </xf>
    <xf numFmtId="0" fontId="0" fillId="2" borderId="10" xfId="0" applyFill="1" applyBorder="1"/>
    <xf numFmtId="0" fontId="12" fillId="2" borderId="10" xfId="0" applyFont="1" applyFill="1" applyBorder="1"/>
    <xf numFmtId="0" fontId="12" fillId="2" borderId="2" xfId="0" applyFont="1" applyFill="1" applyBorder="1"/>
    <xf numFmtId="0" fontId="0" fillId="2" borderId="1" xfId="0" applyFill="1" applyBorder="1"/>
    <xf numFmtId="0" fontId="0" fillId="2" borderId="3" xfId="0" applyFill="1" applyBorder="1"/>
    <xf numFmtId="0" fontId="0" fillId="2" borderId="9" xfId="0" applyFill="1" applyBorder="1"/>
    <xf numFmtId="0" fontId="0" fillId="5" borderId="0" xfId="0" applyFill="1"/>
    <xf numFmtId="0" fontId="0" fillId="5" borderId="2" xfId="0" applyFill="1" applyBorder="1"/>
    <xf numFmtId="0" fontId="12" fillId="5" borderId="7" xfId="0" applyFont="1" applyFill="1" applyBorder="1" applyAlignment="1">
      <alignment horizontal="left" vertical="top" indent="2"/>
    </xf>
    <xf numFmtId="0" fontId="12" fillId="5" borderId="0" xfId="0" applyFont="1" applyFill="1" applyAlignment="1">
      <alignment horizontal="left" vertical="top" indent="2"/>
    </xf>
    <xf numFmtId="0" fontId="0" fillId="5" borderId="7" xfId="0" applyFill="1" applyBorder="1"/>
    <xf numFmtId="0" fontId="17" fillId="5" borderId="0" xfId="1" applyFont="1" applyFill="1" applyBorder="1"/>
    <xf numFmtId="0" fontId="17" fillId="5" borderId="0" xfId="1" quotePrefix="1" applyFont="1" applyFill="1" applyBorder="1"/>
    <xf numFmtId="14" fontId="3" fillId="5" borderId="0" xfId="0" applyNumberFormat="1" applyFont="1" applyFill="1" applyAlignment="1">
      <alignment vertical="center" wrapText="1"/>
    </xf>
    <xf numFmtId="0" fontId="1" fillId="5" borderId="0" xfId="0" applyFont="1" applyFill="1"/>
    <xf numFmtId="0" fontId="3" fillId="5" borderId="0" xfId="0" applyFont="1" applyFill="1" applyAlignment="1">
      <alignment vertical="center"/>
    </xf>
    <xf numFmtId="0" fontId="3" fillId="5" borderId="0" xfId="0" applyFont="1" applyFill="1" applyAlignment="1">
      <alignment vertical="center" wrapText="1"/>
    </xf>
    <xf numFmtId="0" fontId="37" fillId="2" borderId="0" xfId="0" applyFont="1" applyFill="1" applyAlignment="1">
      <alignment horizontal="center" vertical="center"/>
    </xf>
    <xf numFmtId="0" fontId="3" fillId="2" borderId="2" xfId="0" applyFont="1" applyFill="1" applyBorder="1" applyAlignment="1">
      <alignment vertical="center"/>
    </xf>
    <xf numFmtId="14" fontId="3" fillId="2" borderId="2" xfId="0" applyNumberFormat="1" applyFont="1" applyFill="1" applyBorder="1" applyAlignment="1">
      <alignment vertical="center" wrapText="1"/>
    </xf>
    <xf numFmtId="0" fontId="3" fillId="2" borderId="2" xfId="0" applyFont="1" applyFill="1" applyBorder="1" applyAlignment="1">
      <alignment vertical="center" wrapText="1"/>
    </xf>
    <xf numFmtId="0" fontId="0" fillId="2" borderId="11" xfId="0" applyFill="1" applyBorder="1"/>
    <xf numFmtId="0" fontId="15" fillId="2" borderId="14" xfId="0" applyFont="1" applyFill="1" applyBorder="1" applyAlignment="1">
      <alignment vertical="center" wrapText="1"/>
    </xf>
    <xf numFmtId="0" fontId="15" fillId="2" borderId="0" xfId="0" applyFont="1" applyFill="1" applyAlignment="1">
      <alignment vertical="center" wrapText="1"/>
    </xf>
    <xf numFmtId="0" fontId="4" fillId="2" borderId="2" xfId="0" applyFont="1" applyFill="1" applyBorder="1" applyAlignment="1">
      <alignment horizontal="left"/>
    </xf>
    <xf numFmtId="0" fontId="3" fillId="2" borderId="2" xfId="0" applyFont="1" applyFill="1" applyBorder="1" applyAlignment="1">
      <alignment horizontal="left" vertical="center"/>
    </xf>
    <xf numFmtId="0" fontId="6" fillId="2" borderId="2" xfId="0" applyFont="1" applyFill="1" applyBorder="1"/>
    <xf numFmtId="0" fontId="18" fillId="0" borderId="2" xfId="0" applyFont="1" applyBorder="1"/>
    <xf numFmtId="0" fontId="19" fillId="2" borderId="2" xfId="0" applyFont="1" applyFill="1" applyBorder="1"/>
    <xf numFmtId="0" fontId="38" fillId="5" borderId="0" xfId="0" applyFont="1" applyFill="1"/>
    <xf numFmtId="14" fontId="39" fillId="5" borderId="0" xfId="0" applyNumberFormat="1" applyFont="1" applyFill="1" applyAlignment="1">
      <alignment vertical="center" wrapText="1"/>
    </xf>
    <xf numFmtId="0" fontId="39" fillId="5" borderId="0" xfId="0" applyFont="1" applyFill="1" applyAlignment="1">
      <alignment vertical="center"/>
    </xf>
    <xf numFmtId="0" fontId="39" fillId="5" borderId="0" xfId="0" applyFont="1" applyFill="1" applyAlignment="1">
      <alignment vertical="center" wrapText="1"/>
    </xf>
    <xf numFmtId="0" fontId="38" fillId="5" borderId="2" xfId="0" applyFont="1" applyFill="1" applyBorder="1"/>
    <xf numFmtId="0" fontId="20" fillId="2" borderId="2" xfId="0" applyFont="1" applyFill="1" applyBorder="1"/>
    <xf numFmtId="0" fontId="20" fillId="5" borderId="0" xfId="0" applyFont="1" applyFill="1"/>
    <xf numFmtId="0" fontId="6" fillId="5" borderId="0" xfId="0" applyFont="1" applyFill="1"/>
    <xf numFmtId="0" fontId="5" fillId="2" borderId="2" xfId="0" applyFont="1" applyFill="1" applyBorder="1" applyAlignment="1">
      <alignment horizontal="left"/>
    </xf>
    <xf numFmtId="0" fontId="3" fillId="2" borderId="2" xfId="0" applyFont="1" applyFill="1" applyBorder="1" applyAlignment="1">
      <alignment horizontal="left"/>
    </xf>
    <xf numFmtId="0" fontId="12" fillId="2" borderId="0" xfId="0" applyFont="1" applyFill="1" applyAlignment="1">
      <alignment horizontal="center"/>
    </xf>
    <xf numFmtId="0" fontId="5" fillId="5" borderId="0" xfId="0" applyFont="1" applyFill="1" applyAlignment="1">
      <alignment horizontal="left"/>
    </xf>
    <xf numFmtId="0" fontId="4" fillId="5" borderId="0" xfId="0" applyFont="1" applyFill="1" applyAlignment="1">
      <alignment horizontal="left"/>
    </xf>
    <xf numFmtId="0" fontId="3" fillId="5" borderId="0" xfId="0" applyFont="1" applyFill="1" applyAlignment="1">
      <alignment horizontal="left"/>
    </xf>
    <xf numFmtId="0" fontId="3" fillId="5" borderId="0" xfId="0" applyFont="1" applyFill="1" applyAlignment="1">
      <alignment horizontal="left" vertical="center"/>
    </xf>
    <xf numFmtId="0" fontId="11" fillId="5" borderId="0" xfId="0" applyFont="1" applyFill="1" applyAlignment="1">
      <alignment horizontal="left"/>
    </xf>
    <xf numFmtId="0" fontId="11" fillId="5" borderId="0" xfId="0" applyFont="1" applyFill="1" applyAlignment="1">
      <alignment vertical="center"/>
    </xf>
    <xf numFmtId="0" fontId="11" fillId="5" borderId="0" xfId="0" applyFont="1" applyFill="1" applyAlignment="1">
      <alignment vertical="center" wrapText="1"/>
    </xf>
    <xf numFmtId="0" fontId="12" fillId="2" borderId="2" xfId="0" applyFont="1" applyFill="1" applyBorder="1" applyAlignment="1">
      <alignment horizontal="left" vertical="center"/>
    </xf>
    <xf numFmtId="0" fontId="12" fillId="2" borderId="1" xfId="0" applyFont="1" applyFill="1" applyBorder="1" applyAlignment="1">
      <alignment horizontal="left" vertical="center"/>
    </xf>
    <xf numFmtId="2" fontId="12" fillId="2" borderId="1" xfId="0" applyNumberFormat="1" applyFont="1" applyFill="1" applyBorder="1" applyAlignment="1">
      <alignment horizontal="left" vertical="center"/>
    </xf>
    <xf numFmtId="0" fontId="12" fillId="2" borderId="1" xfId="0" applyFont="1" applyFill="1" applyBorder="1"/>
    <xf numFmtId="2" fontId="0" fillId="5" borderId="5" xfId="0" applyNumberFormat="1" applyFill="1" applyBorder="1" applyAlignment="1">
      <alignment horizontal="left" vertical="center"/>
    </xf>
    <xf numFmtId="2" fontId="0" fillId="5" borderId="0" xfId="0" applyNumberFormat="1" applyFill="1" applyAlignment="1">
      <alignment horizontal="left" vertical="center"/>
    </xf>
    <xf numFmtId="2" fontId="12" fillId="5" borderId="21" xfId="0" applyNumberFormat="1" applyFont="1" applyFill="1" applyBorder="1" applyAlignment="1">
      <alignment horizontal="left" vertical="center"/>
    </xf>
    <xf numFmtId="2" fontId="0" fillId="5" borderId="2" xfId="0" applyNumberFormat="1" applyFill="1" applyBorder="1" applyAlignment="1">
      <alignment horizontal="left" vertical="center"/>
    </xf>
    <xf numFmtId="2" fontId="8" fillId="4" borderId="20" xfId="0" applyNumberFormat="1" applyFont="1" applyFill="1" applyBorder="1" applyAlignment="1">
      <alignment horizontal="right"/>
    </xf>
    <xf numFmtId="2" fontId="12" fillId="4" borderId="0" xfId="0" applyNumberFormat="1" applyFont="1" applyFill="1" applyAlignment="1">
      <alignment horizontal="left"/>
    </xf>
    <xf numFmtId="2" fontId="12" fillId="4" borderId="15" xfId="0" applyNumberFormat="1" applyFont="1" applyFill="1" applyBorder="1" applyAlignment="1">
      <alignment horizontal="left"/>
    </xf>
    <xf numFmtId="2" fontId="12" fillId="4" borderId="17" xfId="0" applyNumberFormat="1" applyFont="1" applyFill="1" applyBorder="1" applyAlignment="1">
      <alignment horizontal="left"/>
    </xf>
    <xf numFmtId="2" fontId="12" fillId="3" borderId="22" xfId="0" applyNumberFormat="1" applyFont="1" applyFill="1" applyBorder="1" applyAlignment="1" applyProtection="1">
      <alignment horizontal="left"/>
      <protection locked="0"/>
    </xf>
    <xf numFmtId="0" fontId="0" fillId="2" borderId="0" xfId="0" applyFill="1" applyAlignment="1">
      <alignment horizontal="left" vertical="center"/>
    </xf>
    <xf numFmtId="0" fontId="12" fillId="5" borderId="2" xfId="0" applyFont="1" applyFill="1" applyBorder="1" applyAlignment="1">
      <alignment horizontal="left" vertical="center" wrapText="1"/>
    </xf>
    <xf numFmtId="0" fontId="12" fillId="5" borderId="2" xfId="0" applyFont="1" applyFill="1" applyBorder="1" applyAlignment="1" applyProtection="1">
      <alignment horizontal="left" vertical="center"/>
      <protection hidden="1"/>
    </xf>
    <xf numFmtId="2" fontId="10" fillId="5" borderId="5" xfId="0" applyNumberFormat="1" applyFont="1" applyFill="1" applyBorder="1" applyAlignment="1">
      <alignment horizontal="left" vertical="center"/>
    </xf>
    <xf numFmtId="2" fontId="10" fillId="5" borderId="0" xfId="0" applyNumberFormat="1" applyFont="1" applyFill="1" applyAlignment="1">
      <alignment horizontal="left" vertical="center"/>
    </xf>
    <xf numFmtId="2" fontId="10" fillId="5" borderId="2" xfId="0" applyNumberFormat="1" applyFont="1" applyFill="1" applyBorder="1" applyAlignment="1">
      <alignment horizontal="left" vertical="center"/>
    </xf>
    <xf numFmtId="2" fontId="10" fillId="2" borderId="0" xfId="0" applyNumberFormat="1" applyFont="1" applyFill="1" applyAlignment="1">
      <alignment horizontal="left" vertical="center"/>
    </xf>
    <xf numFmtId="0" fontId="8" fillId="5" borderId="3" xfId="0" applyFont="1" applyFill="1" applyBorder="1" applyAlignment="1">
      <alignment horizontal="left" vertical="center"/>
    </xf>
    <xf numFmtId="0" fontId="12" fillId="5" borderId="7" xfId="0" applyFont="1" applyFill="1" applyBorder="1" applyAlignment="1">
      <alignment horizontal="left" vertical="center"/>
    </xf>
    <xf numFmtId="2" fontId="8" fillId="4" borderId="23" xfId="0" applyNumberFormat="1" applyFont="1" applyFill="1" applyBorder="1" applyAlignment="1">
      <alignment horizontal="left"/>
    </xf>
    <xf numFmtId="0" fontId="0" fillId="5" borderId="15" xfId="0" applyFill="1" applyBorder="1"/>
    <xf numFmtId="0" fontId="0" fillId="6" borderId="0" xfId="0" applyFill="1"/>
    <xf numFmtId="2" fontId="12" fillId="3" borderId="16" xfId="0" applyNumberFormat="1" applyFont="1" applyFill="1" applyBorder="1" applyAlignment="1" applyProtection="1">
      <alignment horizontal="left"/>
      <protection locked="0"/>
    </xf>
    <xf numFmtId="0" fontId="12" fillId="3" borderId="0" xfId="0" applyFont="1" applyFill="1" applyAlignment="1" applyProtection="1">
      <alignment horizontal="left"/>
      <protection locked="0"/>
    </xf>
    <xf numFmtId="0" fontId="13" fillId="5" borderId="5" xfId="0" applyFont="1" applyFill="1" applyBorder="1" applyAlignment="1">
      <alignment horizontal="left" vertical="center"/>
    </xf>
    <xf numFmtId="2" fontId="13" fillId="5" borderId="5" xfId="0" applyNumberFormat="1" applyFont="1" applyFill="1" applyBorder="1" applyAlignment="1">
      <alignment horizontal="left" vertical="center"/>
    </xf>
    <xf numFmtId="0" fontId="12" fillId="5" borderId="8" xfId="0" applyFont="1" applyFill="1" applyBorder="1" applyAlignment="1">
      <alignment horizontal="left" vertical="center"/>
    </xf>
    <xf numFmtId="0" fontId="12" fillId="7" borderId="10" xfId="0" applyFont="1" applyFill="1" applyBorder="1" applyAlignment="1">
      <alignment horizontal="left" vertical="center"/>
    </xf>
    <xf numFmtId="0" fontId="0" fillId="7" borderId="0" xfId="0" applyFill="1" applyAlignment="1">
      <alignment horizontal="left" vertical="center"/>
    </xf>
    <xf numFmtId="0" fontId="12" fillId="5" borderId="21" xfId="0" applyFont="1" applyFill="1" applyBorder="1" applyAlignment="1">
      <alignment horizontal="left" vertical="center"/>
    </xf>
    <xf numFmtId="0" fontId="12" fillId="7" borderId="5" xfId="0" applyFont="1" applyFill="1" applyBorder="1" applyAlignment="1">
      <alignment horizontal="left" vertical="center"/>
    </xf>
    <xf numFmtId="0" fontId="0" fillId="7" borderId="5" xfId="0" applyFill="1" applyBorder="1" applyAlignment="1">
      <alignment horizontal="left" vertical="center"/>
    </xf>
    <xf numFmtId="0" fontId="8" fillId="7" borderId="6" xfId="0" applyFont="1" applyFill="1" applyBorder="1" applyAlignment="1">
      <alignment horizontal="left" vertical="center" wrapText="1"/>
    </xf>
    <xf numFmtId="0" fontId="8" fillId="7" borderId="1" xfId="0" applyFont="1" applyFill="1" applyBorder="1" applyAlignment="1">
      <alignment horizontal="left" vertical="center" wrapText="1"/>
    </xf>
    <xf numFmtId="0" fontId="0" fillId="7" borderId="10" xfId="0" applyFill="1" applyBorder="1" applyAlignment="1">
      <alignment horizontal="left" vertical="center"/>
    </xf>
    <xf numFmtId="0" fontId="36" fillId="6" borderId="2" xfId="0" applyFont="1" applyFill="1" applyBorder="1" applyAlignment="1">
      <alignment horizontal="left" vertical="center" indent="3"/>
    </xf>
    <xf numFmtId="2" fontId="40" fillId="2" borderId="0" xfId="0" applyNumberFormat="1" applyFont="1" applyFill="1" applyAlignment="1">
      <alignment horizontal="left" vertical="center" indent="3"/>
    </xf>
    <xf numFmtId="0" fontId="13" fillId="0" borderId="11" xfId="0" applyFont="1" applyBorder="1" applyAlignment="1">
      <alignment horizontal="left" vertical="top" wrapText="1" indent="2"/>
    </xf>
    <xf numFmtId="0" fontId="13" fillId="0" borderId="1" xfId="0" applyFont="1" applyBorder="1" applyAlignment="1">
      <alignment horizontal="left" vertical="top" wrapText="1" indent="2"/>
    </xf>
    <xf numFmtId="0" fontId="36" fillId="6" borderId="8" xfId="0" applyFont="1" applyFill="1" applyBorder="1" applyAlignment="1">
      <alignment horizontal="left" vertical="center" indent="2"/>
    </xf>
    <xf numFmtId="0" fontId="36" fillId="6" borderId="7" xfId="0" applyFont="1" applyFill="1" applyBorder="1" applyAlignment="1">
      <alignment horizontal="left" vertical="center" indent="2"/>
    </xf>
    <xf numFmtId="0" fontId="36" fillId="6" borderId="9" xfId="0" applyFont="1" applyFill="1" applyBorder="1" applyAlignment="1">
      <alignment horizontal="left" vertical="center" indent="2"/>
    </xf>
    <xf numFmtId="0" fontId="36" fillId="6" borderId="10" xfId="0" applyFont="1" applyFill="1" applyBorder="1" applyAlignment="1">
      <alignment horizontal="left" vertical="center" indent="2"/>
    </xf>
    <xf numFmtId="0" fontId="36" fillId="6" borderId="0" xfId="0" applyFont="1" applyFill="1" applyAlignment="1">
      <alignment horizontal="left" vertical="center" indent="2"/>
    </xf>
    <xf numFmtId="0" fontId="36" fillId="6" borderId="2" xfId="0" applyFont="1" applyFill="1" applyBorder="1" applyAlignment="1">
      <alignment horizontal="left" vertical="center" indent="2"/>
    </xf>
    <xf numFmtId="0" fontId="12" fillId="2" borderId="10" xfId="0" applyFont="1" applyFill="1" applyBorder="1" applyAlignment="1">
      <alignment horizontal="left" wrapText="1" indent="2"/>
    </xf>
    <xf numFmtId="0" fontId="12" fillId="2" borderId="0" xfId="0" applyFont="1" applyFill="1" applyAlignment="1">
      <alignment horizontal="left" wrapText="1" indent="2"/>
    </xf>
    <xf numFmtId="0" fontId="13" fillId="0" borderId="10" xfId="0" applyFont="1" applyBorder="1" applyAlignment="1">
      <alignment horizontal="left" wrapText="1" indent="2"/>
    </xf>
    <xf numFmtId="0" fontId="13" fillId="0" borderId="0" xfId="0" applyFont="1" applyAlignment="1">
      <alignment horizontal="left" wrapText="1" indent="2"/>
    </xf>
    <xf numFmtId="0" fontId="13" fillId="2" borderId="10" xfId="0" applyFont="1" applyFill="1" applyBorder="1" applyAlignment="1">
      <alignment horizontal="left" wrapText="1" indent="2"/>
    </xf>
    <xf numFmtId="0" fontId="13" fillId="2" borderId="0" xfId="0" applyFont="1" applyFill="1" applyAlignment="1">
      <alignment horizontal="left" wrapText="1" indent="2"/>
    </xf>
    <xf numFmtId="0" fontId="33" fillId="6" borderId="0" xfId="0" applyFont="1" applyFill="1" applyAlignment="1">
      <alignment horizontal="left" vertical="center" indent="2"/>
    </xf>
    <xf numFmtId="0" fontId="12" fillId="2" borderId="10" xfId="0" applyFont="1" applyFill="1" applyBorder="1" applyAlignment="1">
      <alignment horizontal="left" vertical="top" wrapText="1" indent="2"/>
    </xf>
    <xf numFmtId="0" fontId="12" fillId="2" borderId="0" xfId="0" applyFont="1" applyFill="1" applyAlignment="1">
      <alignment horizontal="left" vertical="top" wrapText="1" indent="2"/>
    </xf>
    <xf numFmtId="0" fontId="13" fillId="2" borderId="0" xfId="0" applyFont="1" applyFill="1" applyAlignment="1">
      <alignment horizontal="left" vertical="top" wrapText="1" indent="2"/>
    </xf>
    <xf numFmtId="0" fontId="8" fillId="2" borderId="10" xfId="0" applyFont="1" applyFill="1" applyBorder="1" applyAlignment="1">
      <alignment horizontal="left" vertical="top" wrapText="1" indent="2"/>
    </xf>
    <xf numFmtId="0" fontId="8" fillId="2" borderId="0" xfId="0" applyFont="1" applyFill="1" applyAlignment="1">
      <alignment horizontal="left" vertical="top" wrapText="1" indent="2"/>
    </xf>
    <xf numFmtId="0" fontId="12" fillId="2" borderId="10" xfId="0" applyFont="1" applyFill="1" applyBorder="1" applyAlignment="1">
      <alignment horizontal="left" vertical="top" indent="2"/>
    </xf>
    <xf numFmtId="0" fontId="12" fillId="2" borderId="0" xfId="0" applyFont="1" applyFill="1" applyAlignment="1">
      <alignment horizontal="left" vertical="top" indent="2"/>
    </xf>
    <xf numFmtId="0" fontId="8" fillId="2" borderId="2" xfId="0" applyFont="1" applyFill="1" applyBorder="1" applyAlignment="1">
      <alignment horizontal="left" vertical="top" wrapText="1" indent="2"/>
    </xf>
    <xf numFmtId="0" fontId="32" fillId="2" borderId="0" xfId="1" applyFont="1" applyFill="1" applyAlignment="1" applyProtection="1">
      <protection locked="0"/>
    </xf>
    <xf numFmtId="0" fontId="30" fillId="0" borderId="10" xfId="0" applyFont="1" applyBorder="1" applyAlignment="1">
      <alignment horizontal="left" vertical="center" indent="2"/>
    </xf>
    <xf numFmtId="0" fontId="30" fillId="0" borderId="0" xfId="0" applyFont="1" applyAlignment="1">
      <alignment horizontal="left" vertical="center" indent="2"/>
    </xf>
    <xf numFmtId="0" fontId="32" fillId="0" borderId="0" xfId="1" applyFont="1" applyAlignment="1" applyProtection="1">
      <protection locked="0"/>
    </xf>
    <xf numFmtId="0" fontId="13" fillId="0" borderId="0" xfId="0" applyFont="1" applyAlignment="1">
      <alignment horizontal="left" vertical="top" wrapText="1" indent="2"/>
    </xf>
    <xf numFmtId="0" fontId="13" fillId="0" borderId="10" xfId="0" applyFont="1" applyBorder="1" applyAlignment="1">
      <alignment horizontal="left" vertical="top" indent="2"/>
    </xf>
    <xf numFmtId="0" fontId="13" fillId="0" borderId="0" xfId="0" applyFont="1" applyAlignment="1">
      <alignment horizontal="left" vertical="top" indent="2"/>
    </xf>
    <xf numFmtId="0" fontId="31" fillId="0" borderId="10" xfId="0" applyFont="1" applyBorder="1" applyAlignment="1">
      <alignment horizontal="left" vertical="top" indent="2"/>
    </xf>
    <xf numFmtId="0" fontId="31" fillId="0" borderId="0" xfId="0" applyFont="1" applyAlignment="1">
      <alignment horizontal="left" vertical="top" indent="2"/>
    </xf>
    <xf numFmtId="14" fontId="12" fillId="3" borderId="12" xfId="0" applyNumberFormat="1" applyFont="1" applyFill="1" applyBorder="1" applyAlignment="1" applyProtection="1">
      <alignment horizontal="left" vertical="center" wrapText="1"/>
      <protection locked="0"/>
    </xf>
    <xf numFmtId="0" fontId="12" fillId="3" borderId="14" xfId="0" applyFont="1" applyFill="1" applyBorder="1" applyAlignment="1" applyProtection="1">
      <alignment horizontal="left" vertical="center" wrapText="1"/>
      <protection locked="0"/>
    </xf>
    <xf numFmtId="0" fontId="12" fillId="3" borderId="13" xfId="0" applyFont="1" applyFill="1" applyBorder="1" applyAlignment="1" applyProtection="1">
      <alignment horizontal="left" vertical="center" wrapText="1"/>
      <protection locked="0"/>
    </xf>
    <xf numFmtId="0" fontId="36" fillId="6" borderId="10" xfId="0" applyFont="1" applyFill="1" applyBorder="1" applyAlignment="1">
      <alignment horizontal="left" vertical="center" indent="3"/>
    </xf>
    <xf numFmtId="0" fontId="36" fillId="6" borderId="0" xfId="0" applyFont="1" applyFill="1" applyAlignment="1">
      <alignment horizontal="left" vertical="center" indent="3"/>
    </xf>
    <xf numFmtId="0" fontId="36" fillId="6" borderId="2" xfId="0" applyFont="1" applyFill="1" applyBorder="1" applyAlignment="1">
      <alignment horizontal="left" vertical="center" indent="3"/>
    </xf>
    <xf numFmtId="0" fontId="25" fillId="2" borderId="0" xfId="0" applyFont="1" applyFill="1" applyAlignment="1">
      <alignment horizontal="center"/>
    </xf>
    <xf numFmtId="0" fontId="8" fillId="2" borderId="0" xfId="0" applyFont="1" applyFill="1" applyAlignment="1">
      <alignment horizontal="center" vertical="center" wrapText="1"/>
    </xf>
    <xf numFmtId="0" fontId="35" fillId="2" borderId="0" xfId="0" applyFont="1" applyFill="1" applyAlignment="1">
      <alignment horizontal="center"/>
    </xf>
    <xf numFmtId="0" fontId="9" fillId="2" borderId="0" xfId="0" applyFont="1" applyFill="1" applyAlignment="1">
      <alignment horizontal="left" vertical="center" wrapText="1"/>
    </xf>
    <xf numFmtId="0" fontId="8" fillId="2" borderId="12" xfId="0" applyFont="1" applyFill="1" applyBorder="1" applyAlignment="1">
      <alignment horizontal="left"/>
    </xf>
    <xf numFmtId="0" fontId="9" fillId="2" borderId="14" xfId="0" applyFont="1" applyFill="1" applyBorder="1" applyAlignment="1">
      <alignment horizontal="left" vertical="center" wrapText="1"/>
    </xf>
    <xf numFmtId="0" fontId="35" fillId="2" borderId="0" xfId="0" applyFont="1" applyFill="1" applyAlignment="1">
      <alignment horizontal="center" vertical="center"/>
    </xf>
    <xf numFmtId="2" fontId="16" fillId="2" borderId="0" xfId="0" applyNumberFormat="1" applyFont="1" applyFill="1" applyAlignment="1">
      <alignment horizontal="center" vertical="center"/>
    </xf>
    <xf numFmtId="0" fontId="8" fillId="2" borderId="0" xfId="0" applyFont="1" applyFill="1" applyAlignment="1">
      <alignment horizontal="left" vertical="center" wrapText="1"/>
    </xf>
    <xf numFmtId="2" fontId="16" fillId="4" borderId="0" xfId="0" applyNumberFormat="1" applyFont="1" applyFill="1" applyAlignment="1">
      <alignment horizontal="center" vertical="center"/>
    </xf>
    <xf numFmtId="0" fontId="36" fillId="6" borderId="8" xfId="0" applyFont="1" applyFill="1" applyBorder="1" applyAlignment="1">
      <alignment horizontal="left" vertical="center" indent="3"/>
    </xf>
    <xf numFmtId="0" fontId="36" fillId="6" borderId="7" xfId="0" applyFont="1" applyFill="1" applyBorder="1" applyAlignment="1">
      <alignment horizontal="left" vertical="center" indent="3"/>
    </xf>
    <xf numFmtId="0" fontId="36" fillId="6" borderId="9" xfId="0" applyFont="1" applyFill="1" applyBorder="1" applyAlignment="1">
      <alignment horizontal="left" vertical="center" indent="3"/>
    </xf>
    <xf numFmtId="0" fontId="22" fillId="2" borderId="0" xfId="0" applyFont="1" applyFill="1" applyAlignment="1">
      <alignment horizontal="center" vertical="top"/>
    </xf>
  </cellXfs>
  <cellStyles count="2">
    <cellStyle name="Hyperlink" xfId="1" builtinId="8"/>
    <cellStyle name="Normal" xfId="0" builtinId="0"/>
  </cellStyles>
  <dxfs count="11">
    <dxf>
      <fill>
        <patternFill>
          <bgColor rgb="FFF7E8BE"/>
        </patternFill>
      </fill>
    </dxf>
    <dxf>
      <fill>
        <patternFill>
          <bgColor rgb="FFF7E8BE"/>
        </patternFill>
      </fill>
    </dxf>
    <dxf>
      <font>
        <color theme="1"/>
      </font>
    </dxf>
    <dxf>
      <fill>
        <patternFill>
          <bgColor rgb="FFF7E8BE"/>
        </patternFill>
      </fill>
    </dxf>
    <dxf>
      <fill>
        <patternFill>
          <fgColor rgb="FFF7E8BE"/>
          <bgColor rgb="FFF7E8BE"/>
        </patternFill>
      </fill>
    </dxf>
    <dxf>
      <fill>
        <patternFill>
          <fgColor rgb="FFF7E8BE"/>
          <bgColor rgb="FFF7E8BE"/>
        </patternFill>
      </fill>
    </dxf>
    <dxf>
      <fill>
        <patternFill patternType="solid">
          <fgColor rgb="FFF7E8BE"/>
          <bgColor rgb="FFF7E8BE"/>
        </patternFill>
      </fill>
    </dxf>
    <dxf>
      <fill>
        <patternFill>
          <bgColor theme="0"/>
        </patternFill>
      </fill>
    </dxf>
    <dxf>
      <font>
        <b val="0"/>
        <i val="0"/>
        <strike val="0"/>
        <color auto="1"/>
      </font>
      <fill>
        <patternFill>
          <fgColor rgb="FFF7E8BE"/>
          <bgColor rgb="FFF7E8BE"/>
        </patternFill>
      </fill>
    </dxf>
    <dxf>
      <numFmt numFmtId="0" formatCode="General"/>
      <fill>
        <patternFill>
          <bgColor rgb="FF9DD3BE"/>
        </patternFill>
      </fill>
      <border>
        <left/>
        <right/>
        <top/>
        <bottom/>
      </border>
    </dxf>
    <dxf>
      <font>
        <strike val="0"/>
        <color theme="0"/>
      </font>
    </dxf>
  </dxfs>
  <tableStyles count="0" defaultTableStyle="TableStyleMedium2" defaultPivotStyle="PivotStyleLight16"/>
  <colors>
    <mruColors>
      <color rgb="FF449669"/>
      <color rgb="FFEDEDED"/>
      <color rgb="FFF7E8BE"/>
      <color rgb="FF9DD3BE"/>
      <color rgb="FFAAC7EE"/>
      <color rgb="FFF3EEDD"/>
      <color rgb="FF9DDBBE"/>
      <color rgb="FFC5C5C5"/>
      <color rgb="FFC5C1C7"/>
      <color rgb="FFE0CB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uk/government/organisations/natural-england" TargetMode="External"/><Relationship Id="rId7" Type="http://schemas.microsoft.com/office/2007/relationships/hdphoto" Target="../media/hdphoto1.wdp"/><Relationship Id="rId2" Type="http://schemas.openxmlformats.org/officeDocument/2006/relationships/image" Target="../media/image1.png"/><Relationship Id="rId1" Type="http://schemas.openxmlformats.org/officeDocument/2006/relationships/hyperlink" Target="https://ee.ricardo.com/" TargetMode="External"/><Relationship Id="rId6" Type="http://schemas.openxmlformats.org/officeDocument/2006/relationships/image" Target="../media/image3.png"/><Relationship Id="rId5" Type="http://schemas.openxmlformats.org/officeDocument/2006/relationships/hyperlink" Target="#'River Itchen SAC'!A1"/><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10" Type="http://schemas.openxmlformats.org/officeDocument/2006/relationships/image" Target="../media/image11.png"/><Relationship Id="rId4" Type="http://schemas.openxmlformats.org/officeDocument/2006/relationships/image" Target="../media/image7.png"/><Relationship Id="rId9" Type="http://schemas.openxmlformats.org/officeDocument/2006/relationships/image" Target="../media/image10.png"/></Relationships>
</file>

<file path=xl/drawings/_rels/drawing5.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Stage 3'!A1"/><Relationship Id="rId7" Type="http://schemas.openxmlformats.org/officeDocument/2006/relationships/hyperlink" Target="#'Stage 4'!A1"/><Relationship Id="rId2" Type="http://schemas.openxmlformats.org/officeDocument/2006/relationships/image" Target="../media/image6.png"/><Relationship Id="rId1" Type="http://schemas.openxmlformats.org/officeDocument/2006/relationships/hyperlink" Target="#'Stage 1'!A1"/><Relationship Id="rId6" Type="http://schemas.openxmlformats.org/officeDocument/2006/relationships/image" Target="../media/image8.png"/><Relationship Id="rId5" Type="http://schemas.openxmlformats.org/officeDocument/2006/relationships/hyperlink" Target="#'Stage 2'!A1"/><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xdr:row>
      <xdr:rowOff>0</xdr:rowOff>
    </xdr:from>
    <xdr:to>
      <xdr:col>3</xdr:col>
      <xdr:colOff>304800</xdr:colOff>
      <xdr:row>6</xdr:row>
      <xdr:rowOff>304800</xdr:rowOff>
    </xdr:to>
    <xdr:sp macro="" textlink="">
      <xdr:nvSpPr>
        <xdr:cNvPr id="6146" name="AutoShape 2">
          <a:extLst>
            <a:ext uri="{FF2B5EF4-FFF2-40B4-BE49-F238E27FC236}">
              <a16:creationId xmlns:a16="http://schemas.microsoft.com/office/drawing/2014/main" id="{F3FA525F-6FDB-4BEA-9A2F-1AB579041DD2}"/>
            </a:ext>
          </a:extLst>
        </xdr:cNvPr>
        <xdr:cNvSpPr>
          <a:spLocks noChangeAspect="1" noChangeArrowheads="1"/>
        </xdr:cNvSpPr>
      </xdr:nvSpPr>
      <xdr:spPr bwMode="auto">
        <a:xfrm>
          <a:off x="1828800" y="1143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5</xdr:col>
      <xdr:colOff>0</xdr:colOff>
      <xdr:row>5</xdr:row>
      <xdr:rowOff>0</xdr:rowOff>
    </xdr:from>
    <xdr:to>
      <xdr:col>5</xdr:col>
      <xdr:colOff>304800</xdr:colOff>
      <xdr:row>5</xdr:row>
      <xdr:rowOff>304800</xdr:rowOff>
    </xdr:to>
    <xdr:sp macro="" textlink="">
      <xdr:nvSpPr>
        <xdr:cNvPr id="6147" name="AutoShape 3">
          <a:extLst>
            <a:ext uri="{FF2B5EF4-FFF2-40B4-BE49-F238E27FC236}">
              <a16:creationId xmlns:a16="http://schemas.microsoft.com/office/drawing/2014/main" id="{B140DEB8-F359-4454-A33D-7ED25CD52F5B}"/>
            </a:ext>
          </a:extLst>
        </xdr:cNvPr>
        <xdr:cNvSpPr>
          <a:spLocks noChangeAspect="1" noChangeArrowheads="1"/>
        </xdr:cNvSpPr>
      </xdr:nvSpPr>
      <xdr:spPr bwMode="auto">
        <a:xfrm>
          <a:off x="3048000" y="952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38100</xdr:colOff>
      <xdr:row>1</xdr:row>
      <xdr:rowOff>152400</xdr:rowOff>
    </xdr:from>
    <xdr:to>
      <xdr:col>10</xdr:col>
      <xdr:colOff>346496</xdr:colOff>
      <xdr:row>4</xdr:row>
      <xdr:rowOff>275931</xdr:rowOff>
    </xdr:to>
    <xdr:pic>
      <xdr:nvPicPr>
        <xdr:cNvPr id="7" name="Picture 6">
          <a:hlinkClick xmlns:r="http://schemas.openxmlformats.org/officeDocument/2006/relationships" r:id="rId1"/>
          <a:extLst>
            <a:ext uri="{FF2B5EF4-FFF2-40B4-BE49-F238E27FC236}">
              <a16:creationId xmlns:a16="http://schemas.microsoft.com/office/drawing/2014/main" id="{A94DD4AD-3EEA-416C-B2EF-2E02AD19056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514350"/>
          <a:ext cx="1832396" cy="1209381"/>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180976</xdr:colOff>
      <xdr:row>1</xdr:row>
      <xdr:rowOff>180975</xdr:rowOff>
    </xdr:from>
    <xdr:to>
      <xdr:col>4</xdr:col>
      <xdr:colOff>180975</xdr:colOff>
      <xdr:row>4</xdr:row>
      <xdr:rowOff>240510</xdr:rowOff>
    </xdr:to>
    <xdr:pic>
      <xdr:nvPicPr>
        <xdr:cNvPr id="10" name="Picture 9">
          <a:hlinkClick xmlns:r="http://schemas.openxmlformats.org/officeDocument/2006/relationships" r:id="rId3"/>
          <a:extLst>
            <a:ext uri="{FF2B5EF4-FFF2-40B4-BE49-F238E27FC236}">
              <a16:creationId xmlns:a16="http://schemas.microsoft.com/office/drawing/2014/main" id="{E2204205-FAF5-4B6B-A86F-01A92D2D6BB3}"/>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3333" t="2000" r="23445" b="2000"/>
        <a:stretch/>
      </xdr:blipFill>
      <xdr:spPr bwMode="auto">
        <a:xfrm>
          <a:off x="561976" y="542925"/>
          <a:ext cx="1142999" cy="1145385"/>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200024</xdr:colOff>
      <xdr:row>5</xdr:row>
      <xdr:rowOff>133351</xdr:rowOff>
    </xdr:from>
    <xdr:to>
      <xdr:col>11</xdr:col>
      <xdr:colOff>76199</xdr:colOff>
      <xdr:row>7</xdr:row>
      <xdr:rowOff>76200</xdr:rowOff>
    </xdr:to>
    <xdr:sp macro="" textlink="">
      <xdr:nvSpPr>
        <xdr:cNvPr id="8" name="TextBox 7">
          <a:extLst>
            <a:ext uri="{FF2B5EF4-FFF2-40B4-BE49-F238E27FC236}">
              <a16:creationId xmlns:a16="http://schemas.microsoft.com/office/drawing/2014/main" id="{2BC5E90D-F7DB-474F-BF74-1B4BF980360F}"/>
            </a:ext>
          </a:extLst>
        </xdr:cNvPr>
        <xdr:cNvSpPr txBox="1"/>
      </xdr:nvSpPr>
      <xdr:spPr>
        <a:xfrm>
          <a:off x="581024" y="1943101"/>
          <a:ext cx="3686175" cy="6667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latin typeface="Century Gothic" panose="020B0502020202020204" pitchFamily="34" charset="0"/>
              <a:ea typeface="Segoe UI" panose="020B0502040204020203" pitchFamily="34" charset="0"/>
              <a:cs typeface="Segoe UI" panose="020B0502040204020203" pitchFamily="34" charset="0"/>
            </a:rPr>
            <a:t>Nutrient Neutrality Budget Calculator </a:t>
          </a: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3</xdr:col>
      <xdr:colOff>247649</xdr:colOff>
      <xdr:row>8</xdr:row>
      <xdr:rowOff>314326</xdr:rowOff>
    </xdr:from>
    <xdr:to>
      <xdr:col>9</xdr:col>
      <xdr:colOff>28575</xdr:colOff>
      <xdr:row>9</xdr:row>
      <xdr:rowOff>348376</xdr:rowOff>
    </xdr:to>
    <xdr:sp macro="" textlink="">
      <xdr:nvSpPr>
        <xdr:cNvPr id="16" name="TextBox 15">
          <a:hlinkClick xmlns:r="http://schemas.openxmlformats.org/officeDocument/2006/relationships" r:id="rId5"/>
          <a:extLst>
            <a:ext uri="{FF2B5EF4-FFF2-40B4-BE49-F238E27FC236}">
              <a16:creationId xmlns:a16="http://schemas.microsoft.com/office/drawing/2014/main" id="{DA266339-9600-4E62-B26B-3BF11ACB0CB9}"/>
            </a:ext>
          </a:extLst>
        </xdr:cNvPr>
        <xdr:cNvSpPr txBox="1"/>
      </xdr:nvSpPr>
      <xdr:spPr>
        <a:xfrm>
          <a:off x="1390649" y="3209926"/>
          <a:ext cx="2066926"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800" b="1">
              <a:solidFill>
                <a:srgbClr val="449669"/>
              </a:solidFill>
              <a:effectLst/>
              <a:latin typeface="Century Gothic" panose="020B0502020202020204" pitchFamily="34" charset="0"/>
              <a:ea typeface="+mn-ea"/>
              <a:cs typeface="+mn-cs"/>
            </a:rPr>
            <a:t>River Itchen SAC</a:t>
          </a:r>
        </a:p>
        <a:p>
          <a:pPr algn="ctr"/>
          <a:r>
            <a:rPr lang="en-GB" sz="1800" b="1">
              <a:solidFill>
                <a:srgbClr val="449669"/>
              </a:solidFill>
              <a:effectLst/>
              <a:latin typeface="+mn-lt"/>
              <a:ea typeface="+mn-ea"/>
              <a:cs typeface="+mn-cs"/>
            </a:rPr>
            <a:t> </a:t>
          </a:r>
          <a:endParaRPr lang="en-GB" sz="1800" b="1">
            <a:solidFill>
              <a:srgbClr val="449669"/>
            </a:solidFill>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2</xdr:col>
      <xdr:colOff>209550</xdr:colOff>
      <xdr:row>5</xdr:row>
      <xdr:rowOff>66675</xdr:rowOff>
    </xdr:from>
    <xdr:to>
      <xdr:col>10</xdr:col>
      <xdr:colOff>57150</xdr:colOff>
      <xdr:row>5</xdr:row>
      <xdr:rowOff>66675</xdr:rowOff>
    </xdr:to>
    <xdr:cxnSp macro="">
      <xdr:nvCxnSpPr>
        <xdr:cNvPr id="14" name="Straight Connector 13">
          <a:extLst>
            <a:ext uri="{FF2B5EF4-FFF2-40B4-BE49-F238E27FC236}">
              <a16:creationId xmlns:a16="http://schemas.microsoft.com/office/drawing/2014/main" id="{FF16E9BF-5BA5-45AD-84A2-D9613662D088}"/>
            </a:ext>
          </a:extLst>
        </xdr:cNvPr>
        <xdr:cNvCxnSpPr/>
      </xdr:nvCxnSpPr>
      <xdr:spPr>
        <a:xfrm>
          <a:off x="971550" y="1876425"/>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200025</xdr:colOff>
      <xdr:row>10</xdr:row>
      <xdr:rowOff>171450</xdr:rowOff>
    </xdr:from>
    <xdr:to>
      <xdr:col>10</xdr:col>
      <xdr:colOff>47625</xdr:colOff>
      <xdr:row>10</xdr:row>
      <xdr:rowOff>171450</xdr:rowOff>
    </xdr:to>
    <xdr:cxnSp macro="">
      <xdr:nvCxnSpPr>
        <xdr:cNvPr id="19" name="Straight Connector 18">
          <a:extLst>
            <a:ext uri="{FF2B5EF4-FFF2-40B4-BE49-F238E27FC236}">
              <a16:creationId xmlns:a16="http://schemas.microsoft.com/office/drawing/2014/main" id="{3FC5B5CB-450A-4E2A-89F6-BD0FC229810C}"/>
            </a:ext>
          </a:extLst>
        </xdr:cNvPr>
        <xdr:cNvCxnSpPr/>
      </xdr:nvCxnSpPr>
      <xdr:spPr>
        <a:xfrm>
          <a:off x="962025" y="3790950"/>
          <a:ext cx="2895600"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171450</xdr:colOff>
      <xdr:row>7</xdr:row>
      <xdr:rowOff>76201</xdr:rowOff>
    </xdr:from>
    <xdr:to>
      <xdr:col>10</xdr:col>
      <xdr:colOff>104775</xdr:colOff>
      <xdr:row>9</xdr:row>
      <xdr:rowOff>9525</xdr:rowOff>
    </xdr:to>
    <xdr:sp macro="" textlink="">
      <xdr:nvSpPr>
        <xdr:cNvPr id="20" name="TextBox 19">
          <a:extLst>
            <a:ext uri="{FF2B5EF4-FFF2-40B4-BE49-F238E27FC236}">
              <a16:creationId xmlns:a16="http://schemas.microsoft.com/office/drawing/2014/main" id="{19D50B77-7D40-4832-A893-F919EAE1C2A1}"/>
            </a:ext>
          </a:extLst>
        </xdr:cNvPr>
        <xdr:cNvSpPr txBox="1"/>
      </xdr:nvSpPr>
      <xdr:spPr>
        <a:xfrm>
          <a:off x="933450" y="2609851"/>
          <a:ext cx="2981325" cy="657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a</a:t>
          </a:r>
          <a:r>
            <a:rPr lang="en-GB" sz="1200" b="1" baseline="0">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rPr>
            <a:t> tool for assessing the nutrient loading to a Habitats Site</a:t>
          </a:r>
          <a:endParaRPr lang="en-GB" sz="1200" b="1">
            <a:solidFill>
              <a:schemeClr val="bg2">
                <a:lumMod val="50000"/>
              </a:schemeClr>
            </a:solidFill>
            <a:latin typeface="Arial" panose="020B0604020202020204" pitchFamily="34" charset="0"/>
            <a:ea typeface="Segoe UI" panose="020B0502040204020203" pitchFamily="34" charset="0"/>
            <a:cs typeface="Arial" panose="020B0604020202020204"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editAs="oneCell">
    <xdr:from>
      <xdr:col>11</xdr:col>
      <xdr:colOff>349299</xdr:colOff>
      <xdr:row>1</xdr:row>
      <xdr:rowOff>171449</xdr:rowOff>
    </xdr:from>
    <xdr:to>
      <xdr:col>19</xdr:col>
      <xdr:colOff>123824</xdr:colOff>
      <xdr:row>10</xdr:row>
      <xdr:rowOff>228060</xdr:rowOff>
    </xdr:to>
    <xdr:pic>
      <xdr:nvPicPr>
        <xdr:cNvPr id="12" name="Picture 11" descr="The River Itchen near Winchester | Itchen This is the fast f… | Flickr">
          <a:extLst>
            <a:ext uri="{FF2B5EF4-FFF2-40B4-BE49-F238E27FC236}">
              <a16:creationId xmlns:a16="http://schemas.microsoft.com/office/drawing/2014/main" id="{D14C23C2-8755-46A0-B5ED-694153E25566}"/>
            </a:ext>
          </a:extLst>
        </xdr:cNvPr>
        <xdr:cNvPicPr>
          <a:picLocks noChangeAspect="1" noChangeArrowheads="1"/>
        </xdr:cNvPicPr>
      </xdr:nvPicPr>
      <xdr:blipFill>
        <a:blip xmlns:r="http://schemas.openxmlformats.org/officeDocument/2006/relationships" r:embed="rId6">
          <a:extLst>
            <a:ext uri="{BEBA8EAE-BF5A-486C-A8C5-ECC9F3942E4B}">
              <a14:imgProps xmlns:a14="http://schemas.microsoft.com/office/drawing/2010/main">
                <a14:imgLayer r:embed="rId7">
                  <a14:imgEffect>
                    <a14:brightnessContrast bright="10000"/>
                  </a14:imgEffect>
                </a14:imgLayer>
              </a14:imgProps>
            </a:ext>
            <a:ext uri="{28A0092B-C50C-407E-A947-70E740481C1C}">
              <a14:useLocalDpi xmlns:a14="http://schemas.microsoft.com/office/drawing/2010/main" val="0"/>
            </a:ext>
          </a:extLst>
        </a:blip>
        <a:srcRect/>
        <a:stretch>
          <a:fillRect/>
        </a:stretch>
      </xdr:blipFill>
      <xdr:spPr bwMode="auto">
        <a:xfrm>
          <a:off x="4540299" y="533399"/>
          <a:ext cx="4384625" cy="3314161"/>
        </a:xfrm>
        <a:prstGeom prst="rect">
          <a:avLst/>
        </a:prstGeom>
        <a:noFill/>
        <a:effectLst>
          <a:outerShdw blurRad="63500" sx="102000" sy="102000" algn="ctr"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273842</xdr:colOff>
      <xdr:row>9</xdr:row>
      <xdr:rowOff>0</xdr:rowOff>
    </xdr:from>
    <xdr:to>
      <xdr:col>12</xdr:col>
      <xdr:colOff>95249</xdr:colOff>
      <xdr:row>31</xdr:row>
      <xdr:rowOff>27335</xdr:rowOff>
    </xdr:to>
    <xdr:pic>
      <xdr:nvPicPr>
        <xdr:cNvPr id="4" name="Picture 3">
          <a:extLst>
            <a:ext uri="{FF2B5EF4-FFF2-40B4-BE49-F238E27FC236}">
              <a16:creationId xmlns:a16="http://schemas.microsoft.com/office/drawing/2014/main" id="{63EA6010-2ED9-42D2-9488-3E7D69535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69" b="169"/>
        <a:stretch/>
      </xdr:blipFill>
      <xdr:spPr>
        <a:xfrm>
          <a:off x="883442" y="2733675"/>
          <a:ext cx="6527007" cy="4218335"/>
        </a:xfrm>
        <a:prstGeom prst="rect">
          <a:avLst/>
        </a:prstGeom>
      </xdr:spPr>
    </xdr:pic>
    <xdr:clientData/>
  </xdr:twoCellAnchor>
  <xdr:twoCellAnchor>
    <xdr:from>
      <xdr:col>1</xdr:col>
      <xdr:colOff>107154</xdr:colOff>
      <xdr:row>9</xdr:row>
      <xdr:rowOff>71428</xdr:rowOff>
    </xdr:from>
    <xdr:to>
      <xdr:col>2</xdr:col>
      <xdr:colOff>288129</xdr:colOff>
      <xdr:row>12</xdr:row>
      <xdr:rowOff>23803</xdr:rowOff>
    </xdr:to>
    <xdr:sp macro="" textlink="">
      <xdr:nvSpPr>
        <xdr:cNvPr id="5" name="TextBox 4">
          <a:extLst>
            <a:ext uri="{FF2B5EF4-FFF2-40B4-BE49-F238E27FC236}">
              <a16:creationId xmlns:a16="http://schemas.microsoft.com/office/drawing/2014/main" id="{B7685507-D7BA-4E07-80C2-C8795967F3D0}"/>
            </a:ext>
          </a:extLst>
        </xdr:cNvPr>
        <xdr:cNvSpPr txBox="1"/>
      </xdr:nvSpPr>
      <xdr:spPr>
        <a:xfrm>
          <a:off x="716754" y="2805103"/>
          <a:ext cx="790575" cy="523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latin typeface="Arial" panose="020B0604020202020204" pitchFamily="34" charset="0"/>
              <a:cs typeface="Arial" panose="020B0604020202020204" pitchFamily="34" charset="0"/>
            </a:rPr>
            <a:t>Figure 1:</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105172</xdr:colOff>
      <xdr:row>4</xdr:row>
      <xdr:rowOff>2212</xdr:rowOff>
    </xdr:from>
    <xdr:to>
      <xdr:col>33</xdr:col>
      <xdr:colOff>571500</xdr:colOff>
      <xdr:row>27</xdr:row>
      <xdr:rowOff>88860</xdr:rowOff>
    </xdr:to>
    <xdr:pic>
      <xdr:nvPicPr>
        <xdr:cNvPr id="6" name="Picture 5">
          <a:extLst>
            <a:ext uri="{FF2B5EF4-FFF2-40B4-BE49-F238E27FC236}">
              <a16:creationId xmlns:a16="http://schemas.microsoft.com/office/drawing/2014/main" id="{529A32CF-06D7-4D2F-9949-840746E05F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01447" y="754687"/>
          <a:ext cx="9753203" cy="6468398"/>
        </a:xfrm>
        <a:prstGeom prst="rect">
          <a:avLst/>
        </a:prstGeom>
        <a:ln w="38100">
          <a:solidFill>
            <a:srgbClr val="449669"/>
          </a:solid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98066</xdr:colOff>
      <xdr:row>13</xdr:row>
      <xdr:rowOff>174224</xdr:rowOff>
    </xdr:from>
    <xdr:to>
      <xdr:col>4</xdr:col>
      <xdr:colOff>564810</xdr:colOff>
      <xdr:row>17</xdr:row>
      <xdr:rowOff>148570</xdr:rowOff>
    </xdr:to>
    <xdr:sp macro="" textlink="">
      <xdr:nvSpPr>
        <xdr:cNvPr id="26" name="TextBox 7">
          <a:extLst>
            <a:ext uri="{FF2B5EF4-FFF2-40B4-BE49-F238E27FC236}">
              <a16:creationId xmlns:a16="http://schemas.microsoft.com/office/drawing/2014/main" id="{DAC6BFA5-A814-4739-81EB-3EC90F9F5A55}"/>
            </a:ext>
          </a:extLst>
        </xdr:cNvPr>
        <xdr:cNvSpPr txBox="1"/>
      </xdr:nvSpPr>
      <xdr:spPr>
        <a:xfrm>
          <a:off x="1926866" y="2688824"/>
          <a:ext cx="1076344"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Nutrient loading from additional wastewater </a:t>
          </a:r>
        </a:p>
      </xdr:txBody>
    </xdr:sp>
    <xdr:clientData/>
  </xdr:twoCellAnchor>
  <xdr:twoCellAnchor>
    <xdr:from>
      <xdr:col>5</xdr:col>
      <xdr:colOff>73920</xdr:colOff>
      <xdr:row>13</xdr:row>
      <xdr:rowOff>183749</xdr:rowOff>
    </xdr:from>
    <xdr:to>
      <xdr:col>6</xdr:col>
      <xdr:colOff>542130</xdr:colOff>
      <xdr:row>17</xdr:row>
      <xdr:rowOff>158095</xdr:rowOff>
    </xdr:to>
    <xdr:sp macro="" textlink="">
      <xdr:nvSpPr>
        <xdr:cNvPr id="27" name="TextBox 14">
          <a:extLst>
            <a:ext uri="{FF2B5EF4-FFF2-40B4-BE49-F238E27FC236}">
              <a16:creationId xmlns:a16="http://schemas.microsoft.com/office/drawing/2014/main" id="{D178CD17-01F8-438B-9595-7995B6C9ED5B}"/>
            </a:ext>
          </a:extLst>
        </xdr:cNvPr>
        <xdr:cNvSpPr txBox="1"/>
      </xdr:nvSpPr>
      <xdr:spPr>
        <a:xfrm>
          <a:off x="3121920" y="2698349"/>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7</xdr:col>
      <xdr:colOff>62963</xdr:colOff>
      <xdr:row>13</xdr:row>
      <xdr:rowOff>183749</xdr:rowOff>
    </xdr:from>
    <xdr:to>
      <xdr:col>8</xdr:col>
      <xdr:colOff>529708</xdr:colOff>
      <xdr:row>17</xdr:row>
      <xdr:rowOff>158095</xdr:rowOff>
    </xdr:to>
    <xdr:sp macro="" textlink="">
      <xdr:nvSpPr>
        <xdr:cNvPr id="28" name="TextBox 15">
          <a:extLst>
            <a:ext uri="{FF2B5EF4-FFF2-40B4-BE49-F238E27FC236}">
              <a16:creationId xmlns:a16="http://schemas.microsoft.com/office/drawing/2014/main" id="{F641855B-5B10-4BA5-A5B7-C26F1BB34B3F}"/>
            </a:ext>
          </a:extLst>
        </xdr:cNvPr>
        <xdr:cNvSpPr txBox="1"/>
      </xdr:nvSpPr>
      <xdr:spPr>
        <a:xfrm>
          <a:off x="4330163" y="2698349"/>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9</xdr:col>
      <xdr:colOff>48338</xdr:colOff>
      <xdr:row>14</xdr:row>
      <xdr:rowOff>12299</xdr:rowOff>
    </xdr:from>
    <xdr:to>
      <xdr:col>10</xdr:col>
      <xdr:colOff>515083</xdr:colOff>
      <xdr:row>17</xdr:row>
      <xdr:rowOff>13575</xdr:rowOff>
    </xdr:to>
    <xdr:sp macro="" textlink="">
      <xdr:nvSpPr>
        <xdr:cNvPr id="29" name="TextBox 16">
          <a:extLst>
            <a:ext uri="{FF2B5EF4-FFF2-40B4-BE49-F238E27FC236}">
              <a16:creationId xmlns:a16="http://schemas.microsoft.com/office/drawing/2014/main" id="{C1ADB02E-85D7-4F29-AD1C-B62DCCEE4F7A}"/>
            </a:ext>
          </a:extLst>
        </xdr:cNvPr>
        <xdr:cNvSpPr txBox="1"/>
      </xdr:nvSpPr>
      <xdr:spPr>
        <a:xfrm>
          <a:off x="5534738" y="2717399"/>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3</xdr:col>
      <xdr:colOff>0</xdr:colOff>
      <xdr:row>8</xdr:row>
      <xdr:rowOff>123826</xdr:rowOff>
    </xdr:from>
    <xdr:to>
      <xdr:col>5</xdr:col>
      <xdr:colOff>63501</xdr:colOff>
      <xdr:row>14</xdr:row>
      <xdr:rowOff>19288</xdr:rowOff>
    </xdr:to>
    <xdr:pic>
      <xdr:nvPicPr>
        <xdr:cNvPr id="30" name="Picture 29">
          <a:hlinkClick xmlns:r="http://schemas.openxmlformats.org/officeDocument/2006/relationships" r:id="rId1"/>
          <a:extLst>
            <a:ext uri="{FF2B5EF4-FFF2-40B4-BE49-F238E27FC236}">
              <a16:creationId xmlns:a16="http://schemas.microsoft.com/office/drawing/2014/main" id="{9553FB54-1946-41F2-A106-D616F5B1BFA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28800" y="1685926"/>
          <a:ext cx="1282701" cy="1038462"/>
        </a:xfrm>
        <a:prstGeom prst="rect">
          <a:avLst/>
        </a:prstGeom>
      </xdr:spPr>
    </xdr:pic>
    <xdr:clientData/>
  </xdr:twoCellAnchor>
  <xdr:twoCellAnchor editAs="oneCell">
    <xdr:from>
      <xdr:col>6</xdr:col>
      <xdr:colOff>569393</xdr:colOff>
      <xdr:row>8</xdr:row>
      <xdr:rowOff>121426</xdr:rowOff>
    </xdr:from>
    <xdr:to>
      <xdr:col>9</xdr:col>
      <xdr:colOff>26763</xdr:colOff>
      <xdr:row>14</xdr:row>
      <xdr:rowOff>10606</xdr:rowOff>
    </xdr:to>
    <xdr:pic>
      <xdr:nvPicPr>
        <xdr:cNvPr id="31" name="Picture 30">
          <a:hlinkClick xmlns:r="http://schemas.openxmlformats.org/officeDocument/2006/relationships" r:id="rId3"/>
          <a:extLst>
            <a:ext uri="{FF2B5EF4-FFF2-40B4-BE49-F238E27FC236}">
              <a16:creationId xmlns:a16="http://schemas.microsoft.com/office/drawing/2014/main" id="{D590EC4D-C3ED-4ACF-9E0D-A71D4DA5133A}"/>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226993" y="1683526"/>
          <a:ext cx="1292520" cy="1032180"/>
        </a:xfrm>
        <a:prstGeom prst="rect">
          <a:avLst/>
        </a:prstGeom>
      </xdr:spPr>
    </xdr:pic>
    <xdr:clientData/>
  </xdr:twoCellAnchor>
  <xdr:twoCellAnchor editAs="oneCell">
    <xdr:from>
      <xdr:col>4</xdr:col>
      <xdr:colOff>586978</xdr:colOff>
      <xdr:row>8</xdr:row>
      <xdr:rowOff>0</xdr:rowOff>
    </xdr:from>
    <xdr:to>
      <xdr:col>7</xdr:col>
      <xdr:colOff>49763</xdr:colOff>
      <xdr:row>13</xdr:row>
      <xdr:rowOff>66689</xdr:rowOff>
    </xdr:to>
    <xdr:pic>
      <xdr:nvPicPr>
        <xdr:cNvPr id="32" name="Picture 31">
          <a:hlinkClick xmlns:r="http://schemas.openxmlformats.org/officeDocument/2006/relationships" r:id="rId5"/>
          <a:extLst>
            <a:ext uri="{FF2B5EF4-FFF2-40B4-BE49-F238E27FC236}">
              <a16:creationId xmlns:a16="http://schemas.microsoft.com/office/drawing/2014/main" id="{4AFC6A5E-8807-4336-9BA5-53BFC5603E3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025378" y="1562100"/>
          <a:ext cx="1291585" cy="1019189"/>
        </a:xfrm>
        <a:prstGeom prst="rect">
          <a:avLst/>
        </a:prstGeom>
      </xdr:spPr>
    </xdr:pic>
    <xdr:clientData/>
  </xdr:twoCellAnchor>
  <xdr:twoCellAnchor editAs="oneCell">
    <xdr:from>
      <xdr:col>8</xdr:col>
      <xdr:colOff>552868</xdr:colOff>
      <xdr:row>8</xdr:row>
      <xdr:rowOff>0</xdr:rowOff>
    </xdr:from>
    <xdr:to>
      <xdr:col>11</xdr:col>
      <xdr:colOff>21963</xdr:colOff>
      <xdr:row>13</xdr:row>
      <xdr:rowOff>73494</xdr:rowOff>
    </xdr:to>
    <xdr:pic>
      <xdr:nvPicPr>
        <xdr:cNvPr id="33" name="Picture 32">
          <a:hlinkClick xmlns:r="http://schemas.openxmlformats.org/officeDocument/2006/relationships" r:id="rId7"/>
          <a:extLst>
            <a:ext uri="{FF2B5EF4-FFF2-40B4-BE49-F238E27FC236}">
              <a16:creationId xmlns:a16="http://schemas.microsoft.com/office/drawing/2014/main" id="{8AC2D0CF-AEAF-4CC4-B0E7-C46A4A3D4F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5429668" y="1562100"/>
          <a:ext cx="1297895" cy="1025994"/>
        </a:xfrm>
        <a:prstGeom prst="rect">
          <a:avLst/>
        </a:prstGeom>
      </xdr:spPr>
    </xdr:pic>
    <xdr:clientData/>
  </xdr:twoCellAnchor>
  <xdr:twoCellAnchor editAs="oneCell">
    <xdr:from>
      <xdr:col>0</xdr:col>
      <xdr:colOff>373254</xdr:colOff>
      <xdr:row>67</xdr:row>
      <xdr:rowOff>99703</xdr:rowOff>
    </xdr:from>
    <xdr:to>
      <xdr:col>12</xdr:col>
      <xdr:colOff>495301</xdr:colOff>
      <xdr:row>71</xdr:row>
      <xdr:rowOff>268781</xdr:rowOff>
    </xdr:to>
    <xdr:pic>
      <xdr:nvPicPr>
        <xdr:cNvPr id="12" name="Picture 11">
          <a:extLst>
            <a:ext uri="{FF2B5EF4-FFF2-40B4-BE49-F238E27FC236}">
              <a16:creationId xmlns:a16="http://schemas.microsoft.com/office/drawing/2014/main" id="{A5F073F1-C3AE-4E4F-AAD8-4A18B0246B4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373254" y="17416153"/>
          <a:ext cx="7561072" cy="1807378"/>
        </a:xfrm>
        <a:prstGeom prst="rect">
          <a:avLst/>
        </a:prstGeom>
      </xdr:spPr>
    </xdr:pic>
    <xdr:clientData/>
  </xdr:twoCellAnchor>
  <xdr:twoCellAnchor editAs="oneCell">
    <xdr:from>
      <xdr:col>2</xdr:col>
      <xdr:colOff>561977</xdr:colOff>
      <xdr:row>27</xdr:row>
      <xdr:rowOff>104779</xdr:rowOff>
    </xdr:from>
    <xdr:to>
      <xdr:col>11</xdr:col>
      <xdr:colOff>76506</xdr:colOff>
      <xdr:row>35</xdr:row>
      <xdr:rowOff>409575</xdr:rowOff>
    </xdr:to>
    <xdr:pic>
      <xdr:nvPicPr>
        <xdr:cNvPr id="13" name="Picture 12">
          <a:extLst>
            <a:ext uri="{FF2B5EF4-FFF2-40B4-BE49-F238E27FC236}">
              <a16:creationId xmlns:a16="http://schemas.microsoft.com/office/drawing/2014/main" id="{97A80F6E-DAE5-416A-A2E7-BDB5509EAC28}"/>
            </a:ext>
          </a:extLst>
        </xdr:cNvPr>
        <xdr:cNvPicPr>
          <a:picLocks noChangeAspect="1"/>
        </xdr:cNvPicPr>
      </xdr:nvPicPr>
      <xdr:blipFill rotWithShape="1">
        <a:blip xmlns:r="http://schemas.openxmlformats.org/officeDocument/2006/relationships" r:embed="rId10"/>
        <a:srcRect l="51428" t="38163" r="34591" b="44722"/>
        <a:stretch/>
      </xdr:blipFill>
      <xdr:spPr>
        <a:xfrm>
          <a:off x="1781177" y="5267329"/>
          <a:ext cx="5118404" cy="176212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19050</xdr:colOff>
      <xdr:row>2</xdr:row>
      <xdr:rowOff>57149</xdr:rowOff>
    </xdr:from>
    <xdr:to>
      <xdr:col>3</xdr:col>
      <xdr:colOff>0</xdr:colOff>
      <xdr:row>4</xdr:row>
      <xdr:rowOff>72149</xdr:rowOff>
    </xdr:to>
    <xdr:sp macro="" textlink="">
      <xdr:nvSpPr>
        <xdr:cNvPr id="2" name="TextBox 1">
          <a:extLst>
            <a:ext uri="{FF2B5EF4-FFF2-40B4-BE49-F238E27FC236}">
              <a16:creationId xmlns:a16="http://schemas.microsoft.com/office/drawing/2014/main" id="{F6659CFF-5286-40D7-98F4-B757E28119DB}"/>
            </a:ext>
          </a:extLst>
        </xdr:cNvPr>
        <xdr:cNvSpPr txBox="1"/>
      </xdr:nvSpPr>
      <xdr:spPr>
        <a:xfrm>
          <a:off x="628650" y="438149"/>
          <a:ext cx="3629025" cy="396000"/>
        </a:xfrm>
        <a:prstGeom prst="rect">
          <a:avLst/>
        </a:prstGeom>
        <a:solidFill>
          <a:schemeClr val="lt1"/>
        </a:solidFill>
        <a:ln w="38100" cmpd="sng">
          <a:solidFill>
            <a:srgbClr val="449669"/>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800" b="1">
              <a:solidFill>
                <a:srgbClr val="449669"/>
              </a:solidFill>
              <a:effectLst/>
              <a:latin typeface="Century Gothic" panose="020B0502020202020204" pitchFamily="34" charset="0"/>
              <a:ea typeface="+mn-ea"/>
              <a:cs typeface="+mn-cs"/>
            </a:rPr>
            <a:t>Stage</a:t>
          </a:r>
          <a:r>
            <a:rPr lang="en-GB" sz="1800" b="1" baseline="0">
              <a:solidFill>
                <a:srgbClr val="449669"/>
              </a:solidFill>
              <a:effectLst/>
              <a:latin typeface="Century Gothic" panose="020B0502020202020204" pitchFamily="34" charset="0"/>
              <a:ea typeface="+mn-ea"/>
              <a:cs typeface="+mn-cs"/>
            </a:rPr>
            <a:t> 4</a:t>
          </a:r>
          <a:endParaRPr lang="en-GB" sz="1800" b="1">
            <a:latin typeface="Century Gothic" panose="020B0502020202020204" pitchFamily="34" charset="0"/>
            <a:ea typeface="Segoe UI" panose="020B0502040204020203" pitchFamily="34" charset="0"/>
            <a:cs typeface="Segoe UI" panose="020B0502040204020203" pitchFamily="34" charset="0"/>
          </a:endParaRPr>
        </a:p>
        <a:p>
          <a:pPr algn="ctr"/>
          <a:endParaRPr lang="en-GB" sz="1800" b="1">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0</xdr:col>
      <xdr:colOff>552450</xdr:colOff>
      <xdr:row>4</xdr:row>
      <xdr:rowOff>180975</xdr:rowOff>
    </xdr:from>
    <xdr:to>
      <xdr:col>3</xdr:col>
      <xdr:colOff>66675</xdr:colOff>
      <xdr:row>6</xdr:row>
      <xdr:rowOff>133349</xdr:rowOff>
    </xdr:to>
    <xdr:sp macro="" textlink="">
      <xdr:nvSpPr>
        <xdr:cNvPr id="3" name="TextBox 2">
          <a:extLst>
            <a:ext uri="{FF2B5EF4-FFF2-40B4-BE49-F238E27FC236}">
              <a16:creationId xmlns:a16="http://schemas.microsoft.com/office/drawing/2014/main" id="{DC6F458F-5243-4801-8D6D-68E79E45F72B}"/>
            </a:ext>
          </a:extLst>
        </xdr:cNvPr>
        <xdr:cNvSpPr txBox="1"/>
      </xdr:nvSpPr>
      <xdr:spPr>
        <a:xfrm>
          <a:off x="552450" y="942975"/>
          <a:ext cx="3771900" cy="361949"/>
        </a:xfrm>
        <a:prstGeom prst="rect">
          <a:avLst/>
        </a:prstGeom>
        <a:solidFill>
          <a:schemeClr val="lt1"/>
        </a:solidFill>
        <a:ln w="381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b="1">
              <a:solidFill>
                <a:sysClr val="windowText" lastClr="000000"/>
              </a:solidFill>
              <a:effectLst/>
              <a:latin typeface="Century Gothic" panose="020B0502020202020204" pitchFamily="34" charset="0"/>
              <a:ea typeface="+mn-ea"/>
              <a:cs typeface="+mn-cs"/>
            </a:rPr>
            <a:t>Calculated</a:t>
          </a:r>
          <a:r>
            <a:rPr lang="en-GB" sz="1200" b="1" baseline="0">
              <a:solidFill>
                <a:sysClr val="windowText" lastClr="000000"/>
              </a:solidFill>
              <a:effectLst/>
              <a:latin typeface="Century Gothic" panose="020B0502020202020204" pitchFamily="34" charset="0"/>
              <a:ea typeface="+mn-ea"/>
              <a:cs typeface="+mn-cs"/>
            </a:rPr>
            <a:t> </a:t>
          </a:r>
          <a:r>
            <a:rPr lang="en-GB" sz="1200" b="1">
              <a:solidFill>
                <a:sysClr val="windowText" lastClr="000000"/>
              </a:solidFill>
              <a:effectLst/>
              <a:latin typeface="Century Gothic" panose="020B0502020202020204" pitchFamily="34" charset="0"/>
              <a:ea typeface="+mn-ea"/>
              <a:cs typeface="+mn-cs"/>
            </a:rPr>
            <a:t>Outputs</a:t>
          </a:r>
          <a:endParaRPr lang="en-GB" sz="1200" b="1">
            <a:solidFill>
              <a:sysClr val="windowText" lastClr="000000"/>
            </a:solidFill>
            <a:latin typeface="Century Gothic" panose="020B0502020202020204" pitchFamily="34" charset="0"/>
            <a:ea typeface="Segoe UI" panose="020B0502040204020203" pitchFamily="34" charset="0"/>
            <a:cs typeface="Segoe UI" panose="020B0502040204020203" pitchFamily="34" charset="0"/>
          </a:endParaRPr>
        </a:p>
      </xdr:txBody>
    </xdr:sp>
    <xdr:clientData/>
  </xdr:twoCellAnchor>
  <xdr:twoCellAnchor>
    <xdr:from>
      <xdr:col>1</xdr:col>
      <xdr:colOff>1558556</xdr:colOff>
      <xdr:row>5</xdr:row>
      <xdr:rowOff>19050</xdr:rowOff>
    </xdr:from>
    <xdr:to>
      <xdr:col>2</xdr:col>
      <xdr:colOff>257618</xdr:colOff>
      <xdr:row>5</xdr:row>
      <xdr:rowOff>19050</xdr:rowOff>
    </xdr:to>
    <xdr:cxnSp macro="">
      <xdr:nvCxnSpPr>
        <xdr:cNvPr id="4" name="Straight Connector 3">
          <a:extLst>
            <a:ext uri="{FF2B5EF4-FFF2-40B4-BE49-F238E27FC236}">
              <a16:creationId xmlns:a16="http://schemas.microsoft.com/office/drawing/2014/main" id="{935094C3-62FA-4563-A21D-C0A8CA6D4D15}"/>
            </a:ext>
          </a:extLst>
        </xdr:cNvPr>
        <xdr:cNvCxnSpPr/>
      </xdr:nvCxnSpPr>
      <xdr:spPr>
        <a:xfrm>
          <a:off x="2168156" y="971550"/>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1558556</xdr:colOff>
      <xdr:row>6</xdr:row>
      <xdr:rowOff>95250</xdr:rowOff>
    </xdr:from>
    <xdr:to>
      <xdr:col>2</xdr:col>
      <xdr:colOff>257618</xdr:colOff>
      <xdr:row>6</xdr:row>
      <xdr:rowOff>95250</xdr:rowOff>
    </xdr:to>
    <xdr:cxnSp macro="">
      <xdr:nvCxnSpPr>
        <xdr:cNvPr id="5" name="Straight Connector 4">
          <a:extLst>
            <a:ext uri="{FF2B5EF4-FFF2-40B4-BE49-F238E27FC236}">
              <a16:creationId xmlns:a16="http://schemas.microsoft.com/office/drawing/2014/main" id="{4BE1D860-027E-463E-9523-BF967B628009}"/>
            </a:ext>
          </a:extLst>
        </xdr:cNvPr>
        <xdr:cNvCxnSpPr/>
      </xdr:nvCxnSpPr>
      <xdr:spPr>
        <a:xfrm>
          <a:off x="2168156" y="1266825"/>
          <a:ext cx="556437" cy="0"/>
        </a:xfrm>
        <a:prstGeom prst="line">
          <a:avLst/>
        </a:prstGeom>
        <a:ln w="28575">
          <a:solidFill>
            <a:srgbClr val="449669"/>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174266</xdr:colOff>
      <xdr:row>18</xdr:row>
      <xdr:rowOff>69449</xdr:rowOff>
    </xdr:from>
    <xdr:to>
      <xdr:col>10</xdr:col>
      <xdr:colOff>164760</xdr:colOff>
      <xdr:row>20</xdr:row>
      <xdr:rowOff>28450</xdr:rowOff>
    </xdr:to>
    <xdr:sp macro="" textlink="">
      <xdr:nvSpPr>
        <xdr:cNvPr id="6" name="TextBox 7">
          <a:extLst>
            <a:ext uri="{FF2B5EF4-FFF2-40B4-BE49-F238E27FC236}">
              <a16:creationId xmlns:a16="http://schemas.microsoft.com/office/drawing/2014/main" id="{A33283A2-3285-46F7-84EB-4AA89F75F0AF}"/>
            </a:ext>
          </a:extLst>
        </xdr:cNvPr>
        <xdr:cNvSpPr txBox="1"/>
      </xdr:nvSpPr>
      <xdr:spPr>
        <a:xfrm>
          <a:off x="8099066" y="3879449"/>
          <a:ext cx="1076344" cy="397151"/>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1</a:t>
          </a:r>
        </a:p>
        <a:p>
          <a:r>
            <a:rPr lang="en-GB" sz="1100" b="0">
              <a:latin typeface="Arial" panose="020B0604020202020204" pitchFamily="34" charset="0"/>
              <a:cs typeface="Arial" panose="020B0604020202020204" pitchFamily="34" charset="0"/>
            </a:rPr>
            <a:t>Value:</a:t>
          </a:r>
        </a:p>
      </xdr:txBody>
    </xdr:sp>
    <xdr:clientData/>
  </xdr:twoCellAnchor>
  <xdr:twoCellAnchor>
    <xdr:from>
      <xdr:col>10</xdr:col>
      <xdr:colOff>283470</xdr:colOff>
      <xdr:row>18</xdr:row>
      <xdr:rowOff>78974</xdr:rowOff>
    </xdr:from>
    <xdr:to>
      <xdr:col>12</xdr:col>
      <xdr:colOff>142080</xdr:colOff>
      <xdr:row>21</xdr:row>
      <xdr:rowOff>158095</xdr:rowOff>
    </xdr:to>
    <xdr:sp macro="" textlink="">
      <xdr:nvSpPr>
        <xdr:cNvPr id="7" name="TextBox 14">
          <a:extLst>
            <a:ext uri="{FF2B5EF4-FFF2-40B4-BE49-F238E27FC236}">
              <a16:creationId xmlns:a16="http://schemas.microsoft.com/office/drawing/2014/main" id="{568BEE80-E58D-4EA6-8C38-17AB8BAA4BAA}"/>
            </a:ext>
          </a:extLst>
        </xdr:cNvPr>
        <xdr:cNvSpPr txBox="1"/>
      </xdr:nvSpPr>
      <xdr:spPr>
        <a:xfrm>
          <a:off x="9294120" y="3888974"/>
          <a:ext cx="1077810"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2</a:t>
          </a:r>
        </a:p>
        <a:p>
          <a:r>
            <a:rPr lang="en-GB" sz="1100">
              <a:latin typeface="Arial" panose="020B0604020202020204" pitchFamily="34" charset="0"/>
              <a:cs typeface="Arial" panose="020B0604020202020204" pitchFamily="34" charset="0"/>
            </a:rPr>
            <a:t>Nutrient loading from current land use</a:t>
          </a:r>
        </a:p>
      </xdr:txBody>
    </xdr:sp>
    <xdr:clientData/>
  </xdr:twoCellAnchor>
  <xdr:twoCellAnchor>
    <xdr:from>
      <xdr:col>12</xdr:col>
      <xdr:colOff>272513</xdr:colOff>
      <xdr:row>18</xdr:row>
      <xdr:rowOff>78974</xdr:rowOff>
    </xdr:from>
    <xdr:to>
      <xdr:col>14</xdr:col>
      <xdr:colOff>129658</xdr:colOff>
      <xdr:row>21</xdr:row>
      <xdr:rowOff>158095</xdr:rowOff>
    </xdr:to>
    <xdr:sp macro="" textlink="">
      <xdr:nvSpPr>
        <xdr:cNvPr id="8" name="TextBox 15">
          <a:extLst>
            <a:ext uri="{FF2B5EF4-FFF2-40B4-BE49-F238E27FC236}">
              <a16:creationId xmlns:a16="http://schemas.microsoft.com/office/drawing/2014/main" id="{16337382-E2DF-4335-9BD5-709929421A4C}"/>
            </a:ext>
          </a:extLst>
        </xdr:cNvPr>
        <xdr:cNvSpPr txBox="1"/>
      </xdr:nvSpPr>
      <xdr:spPr>
        <a:xfrm>
          <a:off x="10502363" y="3888974"/>
          <a:ext cx="1076345" cy="73634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3</a:t>
          </a:r>
        </a:p>
        <a:p>
          <a:r>
            <a:rPr lang="en-GB" sz="1100">
              <a:latin typeface="Arial" panose="020B0604020202020204" pitchFamily="34" charset="0"/>
              <a:cs typeface="Arial" panose="020B0604020202020204" pitchFamily="34" charset="0"/>
            </a:rPr>
            <a:t>Nutrient loading from future land use</a:t>
          </a:r>
        </a:p>
      </xdr:txBody>
    </xdr:sp>
    <xdr:clientData/>
  </xdr:twoCellAnchor>
  <xdr:twoCellAnchor>
    <xdr:from>
      <xdr:col>14</xdr:col>
      <xdr:colOff>257888</xdr:colOff>
      <xdr:row>18</xdr:row>
      <xdr:rowOff>98024</xdr:rowOff>
    </xdr:from>
    <xdr:to>
      <xdr:col>16</xdr:col>
      <xdr:colOff>115033</xdr:colOff>
      <xdr:row>21</xdr:row>
      <xdr:rowOff>13575</xdr:rowOff>
    </xdr:to>
    <xdr:sp macro="" textlink="">
      <xdr:nvSpPr>
        <xdr:cNvPr id="9" name="TextBox 16">
          <a:extLst>
            <a:ext uri="{FF2B5EF4-FFF2-40B4-BE49-F238E27FC236}">
              <a16:creationId xmlns:a16="http://schemas.microsoft.com/office/drawing/2014/main" id="{FB53914C-1439-4AB8-92D7-6CA707289620}"/>
            </a:ext>
          </a:extLst>
        </xdr:cNvPr>
        <xdr:cNvSpPr txBox="1"/>
      </xdr:nvSpPr>
      <xdr:spPr>
        <a:xfrm>
          <a:off x="11706938" y="3908024"/>
          <a:ext cx="1076345" cy="572776"/>
        </a:xfrm>
        <a:prstGeom prst="rect">
          <a:avLst/>
        </a:prstGeom>
        <a:noFill/>
      </xdr:spPr>
      <xdr:txBody>
        <a:bodyPr wrap="square" lIns="36000" tIns="36000" rIns="36000" bIns="36000" rtlCol="0">
          <a:spAutoFit/>
        </a:bodyPr>
        <a:lstStyle>
          <a:defPPr>
            <a:defRPr lang="en-US"/>
          </a:defPPr>
          <a:lvl1pPr algn="ctr" rtl="0" eaLnBrk="0" fontAlgn="base" hangingPunct="0">
            <a:spcBef>
              <a:spcPct val="0"/>
            </a:spcBef>
            <a:spcAft>
              <a:spcPct val="0"/>
            </a:spcAft>
            <a:defRPr sz="1400" kern="1200">
              <a:solidFill>
                <a:schemeClr val="tx1"/>
              </a:solidFill>
              <a:latin typeface="Arial" charset="0"/>
              <a:ea typeface="+mn-ea"/>
              <a:cs typeface="+mn-cs"/>
            </a:defRPr>
          </a:lvl1pPr>
          <a:lvl2pPr marL="457200" algn="ctr" rtl="0" eaLnBrk="0" fontAlgn="base" hangingPunct="0">
            <a:spcBef>
              <a:spcPct val="0"/>
            </a:spcBef>
            <a:spcAft>
              <a:spcPct val="0"/>
            </a:spcAft>
            <a:defRPr sz="1400" kern="1200">
              <a:solidFill>
                <a:schemeClr val="tx1"/>
              </a:solidFill>
              <a:latin typeface="Arial" charset="0"/>
              <a:ea typeface="+mn-ea"/>
              <a:cs typeface="+mn-cs"/>
            </a:defRPr>
          </a:lvl2pPr>
          <a:lvl3pPr marL="914400" algn="ctr" rtl="0" eaLnBrk="0" fontAlgn="base" hangingPunct="0">
            <a:spcBef>
              <a:spcPct val="0"/>
            </a:spcBef>
            <a:spcAft>
              <a:spcPct val="0"/>
            </a:spcAft>
            <a:defRPr sz="1400" kern="1200">
              <a:solidFill>
                <a:schemeClr val="tx1"/>
              </a:solidFill>
              <a:latin typeface="Arial" charset="0"/>
              <a:ea typeface="+mn-ea"/>
              <a:cs typeface="+mn-cs"/>
            </a:defRPr>
          </a:lvl3pPr>
          <a:lvl4pPr marL="1371600" algn="ctr" rtl="0" eaLnBrk="0" fontAlgn="base" hangingPunct="0">
            <a:spcBef>
              <a:spcPct val="0"/>
            </a:spcBef>
            <a:spcAft>
              <a:spcPct val="0"/>
            </a:spcAft>
            <a:defRPr sz="1400" kern="1200">
              <a:solidFill>
                <a:schemeClr val="tx1"/>
              </a:solidFill>
              <a:latin typeface="Arial" charset="0"/>
              <a:ea typeface="+mn-ea"/>
              <a:cs typeface="+mn-cs"/>
            </a:defRPr>
          </a:lvl4pPr>
          <a:lvl5pPr marL="1828800" algn="ctr" rtl="0" eaLnBrk="0" fontAlgn="base" hangingPunct="0">
            <a:spcBef>
              <a:spcPct val="0"/>
            </a:spcBef>
            <a:spcAft>
              <a:spcPct val="0"/>
            </a:spcAft>
            <a:defRPr sz="1400" kern="1200">
              <a:solidFill>
                <a:schemeClr val="tx1"/>
              </a:solidFill>
              <a:latin typeface="Arial" charset="0"/>
              <a:ea typeface="+mn-ea"/>
              <a:cs typeface="+mn-cs"/>
            </a:defRPr>
          </a:lvl5pPr>
          <a:lvl6pPr marL="2286000" algn="l" defTabSz="914400" rtl="0" eaLnBrk="1" latinLnBrk="0" hangingPunct="1">
            <a:defRPr sz="1400" kern="1200">
              <a:solidFill>
                <a:schemeClr val="tx1"/>
              </a:solidFill>
              <a:latin typeface="Arial" charset="0"/>
              <a:ea typeface="+mn-ea"/>
              <a:cs typeface="+mn-cs"/>
            </a:defRPr>
          </a:lvl6pPr>
          <a:lvl7pPr marL="2743200" algn="l" defTabSz="914400" rtl="0" eaLnBrk="1" latinLnBrk="0" hangingPunct="1">
            <a:defRPr sz="1400" kern="1200">
              <a:solidFill>
                <a:schemeClr val="tx1"/>
              </a:solidFill>
              <a:latin typeface="Arial" charset="0"/>
              <a:ea typeface="+mn-ea"/>
              <a:cs typeface="+mn-cs"/>
            </a:defRPr>
          </a:lvl7pPr>
          <a:lvl8pPr marL="3200400" algn="l" defTabSz="914400" rtl="0" eaLnBrk="1" latinLnBrk="0" hangingPunct="1">
            <a:defRPr sz="1400" kern="1200">
              <a:solidFill>
                <a:schemeClr val="tx1"/>
              </a:solidFill>
              <a:latin typeface="Arial" charset="0"/>
              <a:ea typeface="+mn-ea"/>
              <a:cs typeface="+mn-cs"/>
            </a:defRPr>
          </a:lvl8pPr>
          <a:lvl9pPr marL="3657600" algn="l" defTabSz="914400" rtl="0" eaLnBrk="1" latinLnBrk="0" hangingPunct="1">
            <a:defRPr sz="1400" kern="1200">
              <a:solidFill>
                <a:schemeClr val="tx1"/>
              </a:solidFill>
              <a:latin typeface="Arial" charset="0"/>
              <a:ea typeface="+mn-ea"/>
              <a:cs typeface="+mn-cs"/>
            </a:defRPr>
          </a:lvl9pPr>
        </a:lstStyle>
        <a:p>
          <a:r>
            <a:rPr lang="en-GB" sz="1100" b="1">
              <a:latin typeface="Arial" panose="020B0604020202020204" pitchFamily="34" charset="0"/>
              <a:cs typeface="Arial" panose="020B0604020202020204" pitchFamily="34" charset="0"/>
            </a:rPr>
            <a:t>Stage 4</a:t>
          </a:r>
        </a:p>
        <a:p>
          <a:r>
            <a:rPr lang="en-GB" sz="1100">
              <a:latin typeface="Arial" panose="020B0604020202020204" pitchFamily="34" charset="0"/>
              <a:cs typeface="Arial" panose="020B0604020202020204" pitchFamily="34" charset="0"/>
            </a:rPr>
            <a:t>Nutrient budget calculation</a:t>
          </a:r>
        </a:p>
      </xdr:txBody>
    </xdr:sp>
    <xdr:clientData/>
  </xdr:twoCellAnchor>
  <xdr:twoCellAnchor editAs="oneCell">
    <xdr:from>
      <xdr:col>8</xdr:col>
      <xdr:colOff>76200</xdr:colOff>
      <xdr:row>13</xdr:row>
      <xdr:rowOff>76201</xdr:rowOff>
    </xdr:from>
    <xdr:to>
      <xdr:col>10</xdr:col>
      <xdr:colOff>276226</xdr:colOff>
      <xdr:row>18</xdr:row>
      <xdr:rowOff>84282</xdr:rowOff>
    </xdr:to>
    <xdr:pic>
      <xdr:nvPicPr>
        <xdr:cNvPr id="10" name="Picture 9">
          <a:hlinkClick xmlns:r="http://schemas.openxmlformats.org/officeDocument/2006/relationships" r:id="rId1"/>
          <a:extLst>
            <a:ext uri="{FF2B5EF4-FFF2-40B4-BE49-F238E27FC236}">
              <a16:creationId xmlns:a16="http://schemas.microsoft.com/office/drawing/2014/main" id="{CF9F181F-F076-4A15-9A81-9FFA380081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1000" y="2876551"/>
          <a:ext cx="1285876" cy="1017731"/>
        </a:xfrm>
        <a:prstGeom prst="rect">
          <a:avLst/>
        </a:prstGeom>
      </xdr:spPr>
    </xdr:pic>
    <xdr:clientData/>
  </xdr:twoCellAnchor>
  <xdr:twoCellAnchor editAs="oneCell">
    <xdr:from>
      <xdr:col>12</xdr:col>
      <xdr:colOff>169343</xdr:colOff>
      <xdr:row>13</xdr:row>
      <xdr:rowOff>73801</xdr:rowOff>
    </xdr:from>
    <xdr:to>
      <xdr:col>14</xdr:col>
      <xdr:colOff>242663</xdr:colOff>
      <xdr:row>18</xdr:row>
      <xdr:rowOff>88300</xdr:rowOff>
    </xdr:to>
    <xdr:pic>
      <xdr:nvPicPr>
        <xdr:cNvPr id="11" name="Picture 10">
          <a:hlinkClick xmlns:r="http://schemas.openxmlformats.org/officeDocument/2006/relationships" r:id="rId3"/>
          <a:extLst>
            <a:ext uri="{FF2B5EF4-FFF2-40B4-BE49-F238E27FC236}">
              <a16:creationId xmlns:a16="http://schemas.microsoft.com/office/drawing/2014/main" id="{E398EA38-93DD-45FF-9C31-D9A63D84641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399193" y="2874151"/>
          <a:ext cx="1292520" cy="1024149"/>
        </a:xfrm>
        <a:prstGeom prst="rect">
          <a:avLst/>
        </a:prstGeom>
      </xdr:spPr>
    </xdr:pic>
    <xdr:clientData/>
  </xdr:twoCellAnchor>
  <xdr:twoCellAnchor editAs="oneCell">
    <xdr:from>
      <xdr:col>10</xdr:col>
      <xdr:colOff>186928</xdr:colOff>
      <xdr:row>12</xdr:row>
      <xdr:rowOff>95250</xdr:rowOff>
    </xdr:from>
    <xdr:to>
      <xdr:col>12</xdr:col>
      <xdr:colOff>259313</xdr:colOff>
      <xdr:row>17</xdr:row>
      <xdr:rowOff>161939</xdr:rowOff>
    </xdr:to>
    <xdr:pic>
      <xdr:nvPicPr>
        <xdr:cNvPr id="12" name="Picture 11">
          <a:hlinkClick xmlns:r="http://schemas.openxmlformats.org/officeDocument/2006/relationships" r:id="rId5"/>
          <a:extLst>
            <a:ext uri="{FF2B5EF4-FFF2-40B4-BE49-F238E27FC236}">
              <a16:creationId xmlns:a16="http://schemas.microsoft.com/office/drawing/2014/main" id="{4A9C62A6-3D7B-4731-AAFB-011BA62AB707}"/>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9197578" y="2752725"/>
          <a:ext cx="1291585" cy="1019189"/>
        </a:xfrm>
        <a:prstGeom prst="rect">
          <a:avLst/>
        </a:prstGeom>
      </xdr:spPr>
    </xdr:pic>
    <xdr:clientData/>
  </xdr:twoCellAnchor>
  <xdr:twoCellAnchor editAs="oneCell">
    <xdr:from>
      <xdr:col>14</xdr:col>
      <xdr:colOff>152818</xdr:colOff>
      <xdr:row>12</xdr:row>
      <xdr:rowOff>95250</xdr:rowOff>
    </xdr:from>
    <xdr:to>
      <xdr:col>16</xdr:col>
      <xdr:colOff>228338</xdr:colOff>
      <xdr:row>17</xdr:row>
      <xdr:rowOff>165569</xdr:rowOff>
    </xdr:to>
    <xdr:pic>
      <xdr:nvPicPr>
        <xdr:cNvPr id="13" name="Picture 12">
          <a:hlinkClick xmlns:r="http://schemas.openxmlformats.org/officeDocument/2006/relationships" r:id="rId7"/>
          <a:extLst>
            <a:ext uri="{FF2B5EF4-FFF2-40B4-BE49-F238E27FC236}">
              <a16:creationId xmlns:a16="http://schemas.microsoft.com/office/drawing/2014/main" id="{4D499E9D-14E9-4A44-9642-E04BC704D6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01868" y="2752725"/>
          <a:ext cx="1294720" cy="10228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S56\OneDrive%20-%20Ricardo%20Plc\NE%20NN\Copy%20of%20Herefordshire%20Council%20Phosphate%20Budget%20Calculator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Stage 1"/>
      <sheetName val="Stage 2"/>
      <sheetName val="Stage 3"/>
      <sheetName val="Stage 4"/>
      <sheetName val="WwTW look up"/>
      <sheetName val="Stage 2 and 3 lookups"/>
      <sheetName val="WwTW Catchment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nrfa.ceh.ac.uk/data/station/spatial/42023" TargetMode="External"/><Relationship Id="rId2" Type="http://schemas.openxmlformats.org/officeDocument/2006/relationships/hyperlink" Target="http://www.landis.org.uk/soilscapes/" TargetMode="External"/><Relationship Id="rId1" Type="http://schemas.openxmlformats.org/officeDocument/2006/relationships/hyperlink" Target="http://environment.data.gov.uk/catchment-planning/" TargetMode="External"/><Relationship Id="rId6" Type="http://schemas.openxmlformats.org/officeDocument/2006/relationships/drawing" Target="../drawings/drawing4.xml"/><Relationship Id="rId5" Type="http://schemas.openxmlformats.org/officeDocument/2006/relationships/printerSettings" Target="../printerSettings/printerSettings3.bin"/><Relationship Id="rId4" Type="http://schemas.openxmlformats.org/officeDocument/2006/relationships/hyperlink" Target="http://mapapps2.bgs.ac.uk/ukso/home.html?layers=NVZEn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9288EF-98C6-448F-AC74-23005D297FD1}">
  <dimension ref="M5:Y12"/>
  <sheetViews>
    <sheetView showGridLines="0" showRowColHeaders="0" tabSelected="1" zoomScaleNormal="100" workbookViewId="0"/>
  </sheetViews>
  <sheetFormatPr defaultColWidth="5.7109375" defaultRowHeight="28.5" customHeight="1" x14ac:dyDescent="0.25"/>
  <cols>
    <col min="1" max="12" width="5.7109375" style="2"/>
    <col min="13" max="13" width="30.28515625" style="2" bestFit="1" customWidth="1"/>
    <col min="14" max="14" width="5.7109375" style="2"/>
    <col min="15" max="15" width="4.5703125" style="2" customWidth="1"/>
    <col min="16" max="20" width="5.7109375" style="2"/>
    <col min="21" max="21" width="5.7109375" style="2" customWidth="1"/>
    <col min="22" max="16384" width="5.7109375" style="2"/>
  </cols>
  <sheetData>
    <row r="5" spans="13:25" ht="28.5" customHeight="1" x14ac:dyDescent="0.25">
      <c r="Y5"/>
    </row>
    <row r="11" spans="13:25" ht="18" customHeight="1" x14ac:dyDescent="0.25"/>
    <row r="12" spans="13:25" ht="45.75" x14ac:dyDescent="0.25">
      <c r="M12" s="105" t="s">
        <v>0</v>
      </c>
    </row>
  </sheetData>
  <sheetProtection algorithmName="SHA-512" hashValue="UG6tpHsIJxQ/S/IH3fk9b4wEBHtGuMnpT40nywYhPkqczMMFekfWRerKvUEiTcl5CGTiohniEL7KPPviC6keNA==" saltValue="s4RSwBLhYw5obK+NNJK1/w==" spinCount="100000" sheet="1" objects="1" scenarios="1" selectLockedCells="1" selectUnlockedCells="1"/>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546A1-C6EE-4AA8-8A3A-C1EBF31A9FD9}">
  <dimension ref="B6:K33"/>
  <sheetViews>
    <sheetView topLeftCell="A10" workbookViewId="0">
      <selection activeCell="C16" sqref="C16"/>
    </sheetView>
  </sheetViews>
  <sheetFormatPr defaultColWidth="9.140625" defaultRowHeight="15" x14ac:dyDescent="0.25"/>
  <cols>
    <col min="1" max="1" width="9.140625" style="1"/>
    <col min="2" max="2" width="27.85546875" style="1" customWidth="1"/>
    <col min="3" max="3" width="26.85546875" style="1" customWidth="1"/>
    <col min="4" max="4" width="9.140625" style="1"/>
    <col min="5" max="5" width="15" style="1" customWidth="1"/>
    <col min="6" max="6" width="12.5703125" style="1" customWidth="1"/>
    <col min="7" max="9" width="9.140625" style="1"/>
    <col min="10" max="10" width="7.140625" style="1" customWidth="1"/>
    <col min="11" max="16384" width="9.140625" style="1"/>
  </cols>
  <sheetData>
    <row r="6" spans="2:11" ht="17.25" x14ac:dyDescent="0.25">
      <c r="K6" s="6"/>
    </row>
    <row r="7" spans="2:11" ht="18" customHeight="1" x14ac:dyDescent="0.35">
      <c r="F7" s="4"/>
      <c r="G7" s="5"/>
      <c r="H7" s="5"/>
      <c r="I7" s="4"/>
      <c r="K7" s="7"/>
    </row>
    <row r="8" spans="2:11" ht="12" customHeight="1" x14ac:dyDescent="0.35">
      <c r="F8" s="3"/>
      <c r="G8" s="3"/>
      <c r="H8" s="3"/>
      <c r="I8" s="9"/>
      <c r="K8" s="7"/>
    </row>
    <row r="9" spans="2:11" ht="18" thickBot="1" x14ac:dyDescent="0.4">
      <c r="B9" s="14" t="s">
        <v>125</v>
      </c>
      <c r="D9" s="22"/>
      <c r="E9" s="279" t="s">
        <v>135</v>
      </c>
      <c r="G9" s="3"/>
      <c r="H9" s="3"/>
      <c r="I9" s="9"/>
      <c r="K9" s="7"/>
    </row>
    <row r="10" spans="2:11" ht="21" customHeight="1" thickTop="1" thickBot="1" x14ac:dyDescent="0.4">
      <c r="B10" s="15" t="s">
        <v>126</v>
      </c>
      <c r="D10" s="24"/>
      <c r="E10" s="279"/>
      <c r="G10" s="3"/>
      <c r="H10" s="3" t="s">
        <v>136</v>
      </c>
      <c r="I10" s="9"/>
      <c r="J10" s="6"/>
      <c r="K10" s="8"/>
    </row>
    <row r="11" spans="2:11" ht="18.75" thickTop="1" thickBot="1" x14ac:dyDescent="0.3">
      <c r="B11" s="16" t="s">
        <v>127</v>
      </c>
      <c r="D11" s="25"/>
      <c r="E11" s="279"/>
      <c r="G11" s="7"/>
      <c r="H11" s="7" t="b">
        <f>IF(C33&lt;0,"Well done, you're in the clear…,""")</f>
        <v>0</v>
      </c>
      <c r="I11" s="7"/>
      <c r="J11" s="7"/>
      <c r="K11" s="8"/>
    </row>
    <row r="12" spans="2:11" ht="29.25" customHeight="1" thickTop="1" x14ac:dyDescent="0.25">
      <c r="B12" s="17" t="s">
        <v>128</v>
      </c>
      <c r="D12" s="26"/>
      <c r="E12" s="279"/>
      <c r="G12" s="8"/>
      <c r="H12" s="8" t="s">
        <v>137</v>
      </c>
      <c r="I12" s="8"/>
      <c r="J12" s="8"/>
    </row>
    <row r="13" spans="2:11" ht="11.25" customHeight="1" x14ac:dyDescent="0.25">
      <c r="B13" s="22"/>
      <c r="C13" s="22"/>
      <c r="D13" s="22"/>
      <c r="E13" s="22"/>
      <c r="F13" s="54"/>
    </row>
    <row r="14" spans="2:11" x14ac:dyDescent="0.25">
      <c r="B14" s="22"/>
      <c r="C14" s="22"/>
      <c r="D14" s="22"/>
      <c r="E14" s="22"/>
      <c r="F14" s="54"/>
    </row>
    <row r="15" spans="2:11" ht="15.75" thickBot="1" x14ac:dyDescent="0.3">
      <c r="B15" s="14" t="s">
        <v>129</v>
      </c>
      <c r="C15" s="51">
        <f>'Stage 1'!D35</f>
        <v>2.5561656000000004</v>
      </c>
      <c r="D15" s="22"/>
      <c r="E15" s="279" t="s">
        <v>138</v>
      </c>
    </row>
    <row r="16" spans="2:11" ht="16.5" thickTop="1" thickBot="1" x14ac:dyDescent="0.3">
      <c r="B16" s="15" t="s">
        <v>130</v>
      </c>
      <c r="C16" s="23">
        <f>'Stage 3'!F27-'Stage 2'!F32</f>
        <v>0</v>
      </c>
      <c r="D16" s="22"/>
      <c r="E16" s="279"/>
    </row>
    <row r="17" spans="2:6" ht="16.5" thickTop="1" thickBot="1" x14ac:dyDescent="0.3">
      <c r="B17" s="16" t="s">
        <v>131</v>
      </c>
      <c r="C17" s="52">
        <f>C15+C16</f>
        <v>2.5561656000000004</v>
      </c>
      <c r="D17" s="18"/>
      <c r="E17" s="279"/>
    </row>
    <row r="18" spans="2:6" ht="15.75" thickTop="1" x14ac:dyDescent="0.25">
      <c r="B18" s="17" t="s">
        <v>132</v>
      </c>
      <c r="C18" s="53">
        <f>C17*1.2</f>
        <v>3.0673987200000004</v>
      </c>
      <c r="D18" s="18"/>
      <c r="E18" s="279"/>
    </row>
    <row r="19" spans="2:6" ht="17.25" x14ac:dyDescent="0.25">
      <c r="B19" s="9"/>
      <c r="C19" s="11"/>
      <c r="D19" s="12"/>
    </row>
    <row r="20" spans="2:6" ht="17.25" x14ac:dyDescent="0.25">
      <c r="B20" s="9"/>
      <c r="C20" s="11"/>
      <c r="D20" s="12"/>
    </row>
    <row r="21" spans="2:6" ht="17.25" x14ac:dyDescent="0.25">
      <c r="B21" s="9"/>
      <c r="C21" s="12"/>
      <c r="D21" s="12"/>
    </row>
    <row r="22" spans="2:6" ht="17.25" x14ac:dyDescent="0.25">
      <c r="B22" s="10"/>
      <c r="C22" s="13"/>
      <c r="D22" s="13"/>
    </row>
    <row r="24" spans="2:6" ht="15.75" thickBot="1" x14ac:dyDescent="0.3">
      <c r="C24" s="51">
        <f>'Stage 1'!D30</f>
        <v>2.36682E-2</v>
      </c>
      <c r="F24" s="280">
        <f>C33</f>
        <v>2.8401839999999998E-2</v>
      </c>
    </row>
    <row r="25" spans="2:6" ht="15.75" thickTop="1" x14ac:dyDescent="0.25">
      <c r="F25" s="280"/>
    </row>
    <row r="26" spans="2:6" x14ac:dyDescent="0.25">
      <c r="F26" s="280"/>
    </row>
    <row r="27" spans="2:6" ht="15.75" thickBot="1" x14ac:dyDescent="0.3">
      <c r="C27" s="23">
        <f>'Stage 3'!E27-'Stage 2'!E32</f>
        <v>0</v>
      </c>
      <c r="F27" s="280"/>
    </row>
    <row r="28" spans="2:6" ht="15.75" thickTop="1" x14ac:dyDescent="0.25"/>
    <row r="29" spans="2:6" ht="15.75" thickBot="1" x14ac:dyDescent="0.3">
      <c r="F29" s="280">
        <f>C18</f>
        <v>3.0673987200000004</v>
      </c>
    </row>
    <row r="30" spans="2:6" ht="16.5" thickTop="1" thickBot="1" x14ac:dyDescent="0.3">
      <c r="C30" s="52">
        <f>C24+C27</f>
        <v>2.36682E-2</v>
      </c>
      <c r="F30" s="280"/>
    </row>
    <row r="31" spans="2:6" ht="15.75" thickTop="1" x14ac:dyDescent="0.25">
      <c r="F31" s="280"/>
    </row>
    <row r="32" spans="2:6" ht="15.75" thickBot="1" x14ac:dyDescent="0.3">
      <c r="F32" s="280"/>
    </row>
    <row r="33" spans="3:3" ht="15.75" thickTop="1" x14ac:dyDescent="0.25">
      <c r="C33" s="53">
        <f>C30*1.2</f>
        <v>2.8401839999999998E-2</v>
      </c>
    </row>
  </sheetData>
  <mergeCells count="4">
    <mergeCell ref="E9:E12"/>
    <mergeCell ref="F24:F27"/>
    <mergeCell ref="E15:E18"/>
    <mergeCell ref="F29:F32"/>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07F3CA5-F800-43D1-83B8-FCADDD9BAC80}">
          <x14:formula1>
            <xm:f>'C:\Users\DS56\OneDrive - Ricardo Plc\NE NN\[Copy of Herefordshire Council Phosphate Budget Calculator_Final.xlsx]Stage 2 and 3 lookups'!#REF!</xm:f>
          </x14:formula1>
          <xm:sqref>I8:I10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A7AF-3E94-4ACD-8BCA-F732777F79B7}">
  <dimension ref="B1:P165"/>
  <sheetViews>
    <sheetView showRowColHeaders="0" topLeftCell="A4" zoomScaleNormal="100" workbookViewId="0">
      <selection activeCell="E8" sqref="E8:E11"/>
    </sheetView>
  </sheetViews>
  <sheetFormatPr defaultColWidth="9.140625" defaultRowHeight="15" x14ac:dyDescent="0.25"/>
  <cols>
    <col min="1" max="1" width="9.140625" style="152"/>
    <col min="2" max="2" width="4.85546875" style="152" customWidth="1"/>
    <col min="3" max="3" width="44.42578125" style="152" bestFit="1" customWidth="1"/>
    <col min="4" max="4" width="31.28515625" style="152" bestFit="1" customWidth="1"/>
    <col min="5" max="5" width="34" style="152" customWidth="1"/>
    <col min="6" max="6" width="31.5703125" style="152" customWidth="1"/>
    <col min="7" max="7" width="41.85546875" style="152" customWidth="1"/>
    <col min="8" max="8" width="51.28515625" style="152" customWidth="1"/>
    <col min="9" max="9" width="46.5703125" style="152" customWidth="1"/>
    <col min="10" max="10" width="39.85546875" style="152" bestFit="1" customWidth="1"/>
    <col min="11" max="11" width="36.85546875" style="152" customWidth="1"/>
    <col min="12" max="12" width="38.140625" style="152" bestFit="1" customWidth="1"/>
    <col min="13" max="15" width="28" style="152" customWidth="1"/>
    <col min="16" max="16" width="9" style="152" customWidth="1"/>
    <col min="17" max="16384" width="9.140625" style="152"/>
  </cols>
  <sheetData>
    <row r="1" spans="2:16" ht="35.25" customHeight="1" thickBot="1" x14ac:dyDescent="0.3"/>
    <row r="2" spans="2:16" ht="15.75" thickTop="1" x14ac:dyDescent="0.25">
      <c r="B2" s="281" t="s">
        <v>139</v>
      </c>
      <c r="C2" s="282"/>
      <c r="D2" s="282"/>
      <c r="E2" s="282"/>
      <c r="F2" s="282"/>
      <c r="G2" s="282"/>
      <c r="H2" s="282"/>
      <c r="I2" s="282"/>
      <c r="J2" s="282"/>
      <c r="K2" s="282"/>
      <c r="L2" s="282"/>
      <c r="M2" s="282"/>
      <c r="N2" s="282"/>
      <c r="O2" s="282"/>
      <c r="P2" s="283"/>
    </row>
    <row r="3" spans="2:16" x14ac:dyDescent="0.25">
      <c r="B3" s="268"/>
      <c r="C3" s="269"/>
      <c r="D3" s="269"/>
      <c r="E3" s="269"/>
      <c r="F3" s="269"/>
      <c r="G3" s="269"/>
      <c r="H3" s="269"/>
      <c r="I3" s="269"/>
      <c r="J3" s="269"/>
      <c r="K3" s="269"/>
      <c r="L3" s="269"/>
      <c r="M3" s="269"/>
      <c r="N3" s="269"/>
      <c r="O3" s="269"/>
      <c r="P3" s="270"/>
    </row>
    <row r="4" spans="2:16" x14ac:dyDescent="0.25">
      <c r="B4" s="268"/>
      <c r="C4" s="269"/>
      <c r="D4" s="269"/>
      <c r="E4" s="269"/>
      <c r="F4" s="269"/>
      <c r="G4" s="269"/>
      <c r="H4" s="269"/>
      <c r="I4" s="269"/>
      <c r="J4" s="269"/>
      <c r="K4" s="269"/>
      <c r="L4" s="269"/>
      <c r="M4" s="269"/>
      <c r="N4" s="269"/>
      <c r="O4" s="269"/>
      <c r="P4" s="270"/>
    </row>
    <row r="5" spans="2:16" x14ac:dyDescent="0.25">
      <c r="B5" s="146"/>
      <c r="C5" s="22"/>
      <c r="D5" s="22"/>
      <c r="E5" s="22"/>
      <c r="F5" s="22"/>
      <c r="G5" s="22"/>
      <c r="H5" s="22"/>
      <c r="I5" s="1"/>
      <c r="J5" s="22"/>
      <c r="K5" s="22"/>
      <c r="L5" s="22"/>
      <c r="M5" s="22"/>
      <c r="N5" s="22"/>
      <c r="O5" s="22"/>
      <c r="P5" s="148"/>
    </row>
    <row r="6" spans="2:16" x14ac:dyDescent="0.25">
      <c r="B6" s="146"/>
      <c r="C6" s="22" t="s">
        <v>140</v>
      </c>
      <c r="D6" s="1"/>
      <c r="E6" s="22"/>
      <c r="F6" s="22"/>
      <c r="G6" s="22"/>
      <c r="H6" s="22"/>
      <c r="I6" s="1"/>
      <c r="J6" s="22"/>
      <c r="K6" s="22"/>
      <c r="L6" s="22"/>
      <c r="M6" s="22"/>
      <c r="N6" s="22"/>
      <c r="O6" s="22"/>
      <c r="P6" s="148"/>
    </row>
    <row r="7" spans="2:16" ht="30.75" thickBot="1" x14ac:dyDescent="0.3">
      <c r="B7" s="146"/>
      <c r="C7" s="33" t="s">
        <v>141</v>
      </c>
      <c r="D7" s="46" t="s">
        <v>142</v>
      </c>
      <c r="E7" s="46" t="s">
        <v>143</v>
      </c>
      <c r="F7" s="46" t="s">
        <v>144</v>
      </c>
      <c r="G7" s="46" t="s">
        <v>145</v>
      </c>
      <c r="H7" s="228" t="s">
        <v>146</v>
      </c>
      <c r="I7" s="229" t="s">
        <v>147</v>
      </c>
      <c r="J7" s="27"/>
      <c r="K7" s="27"/>
      <c r="L7" s="27"/>
      <c r="M7" s="27"/>
      <c r="N7" s="27"/>
      <c r="O7" s="27"/>
      <c r="P7" s="148"/>
    </row>
    <row r="8" spans="2:16" ht="15.75" thickTop="1" x14ac:dyDescent="0.25">
      <c r="B8" s="146"/>
      <c r="C8" s="207" t="s">
        <v>148</v>
      </c>
      <c r="D8" s="43">
        <v>1</v>
      </c>
      <c r="E8" s="43">
        <f>H8+2</f>
        <v>27</v>
      </c>
      <c r="F8" s="43">
        <v>0.6</v>
      </c>
      <c r="G8" s="225">
        <f>I8+2</f>
        <v>27</v>
      </c>
      <c r="H8" s="43">
        <v>25</v>
      </c>
      <c r="I8" s="222">
        <v>25</v>
      </c>
      <c r="J8" s="27"/>
      <c r="K8" s="27"/>
      <c r="L8" s="27"/>
      <c r="M8" s="27"/>
      <c r="N8" s="27"/>
      <c r="O8" s="27"/>
      <c r="P8" s="148"/>
    </row>
    <row r="9" spans="2:16" x14ac:dyDescent="0.25">
      <c r="B9" s="146"/>
      <c r="C9" s="207" t="s">
        <v>85</v>
      </c>
      <c r="D9" s="43">
        <v>1</v>
      </c>
      <c r="E9" s="43">
        <f t="shared" ref="E9:E13" si="0">H9+2</f>
        <v>27</v>
      </c>
      <c r="F9" s="43">
        <v>0.25</v>
      </c>
      <c r="G9" s="43">
        <f t="shared" ref="G9:G13" si="1">I9+2</f>
        <v>27</v>
      </c>
      <c r="H9" s="43">
        <v>25</v>
      </c>
      <c r="I9" s="40">
        <v>25</v>
      </c>
      <c r="J9" s="27"/>
      <c r="K9" s="27"/>
      <c r="L9" s="27"/>
      <c r="M9" s="27"/>
      <c r="N9" s="27"/>
      <c r="O9" s="27"/>
      <c r="P9" s="148"/>
    </row>
    <row r="10" spans="2:16" x14ac:dyDescent="0.25">
      <c r="B10" s="146"/>
      <c r="C10" s="207" t="s">
        <v>149</v>
      </c>
      <c r="D10" s="43">
        <v>1</v>
      </c>
      <c r="E10" s="43">
        <f t="shared" si="0"/>
        <v>27</v>
      </c>
      <c r="F10" s="43">
        <v>1</v>
      </c>
      <c r="G10" s="43">
        <f t="shared" si="1"/>
        <v>27</v>
      </c>
      <c r="H10" s="43">
        <v>25</v>
      </c>
      <c r="I10" s="40">
        <v>25</v>
      </c>
      <c r="J10" s="27"/>
      <c r="K10" s="27"/>
      <c r="L10" s="27"/>
      <c r="M10" s="27"/>
      <c r="N10" s="27"/>
      <c r="O10" s="27"/>
      <c r="P10" s="148"/>
    </row>
    <row r="11" spans="2:16" x14ac:dyDescent="0.25">
      <c r="B11" s="146"/>
      <c r="C11" s="207" t="s">
        <v>150</v>
      </c>
      <c r="D11" s="43">
        <v>8</v>
      </c>
      <c r="E11" s="43">
        <v>27</v>
      </c>
      <c r="F11" s="43">
        <v>8</v>
      </c>
      <c r="G11" s="226">
        <v>27</v>
      </c>
      <c r="H11" s="43">
        <v>25</v>
      </c>
      <c r="I11" s="223">
        <v>25</v>
      </c>
      <c r="J11" s="27"/>
      <c r="K11" s="27"/>
      <c r="L11" s="27"/>
      <c r="M11" s="27"/>
      <c r="N11" s="27"/>
      <c r="O11" s="27"/>
      <c r="P11" s="148"/>
    </row>
    <row r="12" spans="2:16" x14ac:dyDescent="0.25">
      <c r="B12" s="146"/>
      <c r="C12" s="207" t="s">
        <v>151</v>
      </c>
      <c r="D12" s="43">
        <v>9.6999999999999993</v>
      </c>
      <c r="E12" s="43">
        <f t="shared" si="0"/>
        <v>72.900000000000006</v>
      </c>
      <c r="F12" s="43">
        <v>9.6999999999999993</v>
      </c>
      <c r="G12" s="43">
        <f t="shared" si="1"/>
        <v>72.900000000000006</v>
      </c>
      <c r="H12" s="43">
        <v>70.900000000000006</v>
      </c>
      <c r="I12" s="40">
        <v>70.900000000000006</v>
      </c>
      <c r="J12" s="27"/>
      <c r="K12" s="27"/>
      <c r="L12" s="27"/>
      <c r="M12" s="27"/>
      <c r="N12" s="27"/>
      <c r="O12" s="27"/>
      <c r="P12" s="148"/>
    </row>
    <row r="13" spans="2:16" x14ac:dyDescent="0.25">
      <c r="B13" s="146"/>
      <c r="C13" s="207" t="s">
        <v>152</v>
      </c>
      <c r="D13" s="43">
        <v>11.6</v>
      </c>
      <c r="E13" s="43">
        <f t="shared" si="0"/>
        <v>96.3</v>
      </c>
      <c r="F13" s="43">
        <v>11.6</v>
      </c>
      <c r="G13" s="43">
        <f t="shared" si="1"/>
        <v>96.3</v>
      </c>
      <c r="H13" s="43">
        <v>94.3</v>
      </c>
      <c r="I13" s="40">
        <v>94.3</v>
      </c>
      <c r="J13" s="27"/>
      <c r="K13" s="27"/>
      <c r="L13" s="27"/>
      <c r="M13" s="27"/>
      <c r="N13" s="27"/>
      <c r="O13" s="27"/>
      <c r="P13" s="148"/>
    </row>
    <row r="14" spans="2:16" x14ac:dyDescent="0.25">
      <c r="B14" s="146"/>
      <c r="C14" s="207" t="s">
        <v>153</v>
      </c>
      <c r="D14" s="43"/>
      <c r="E14" s="43"/>
      <c r="F14" s="43"/>
      <c r="G14" s="43"/>
      <c r="H14" s="227"/>
      <c r="I14" s="230"/>
      <c r="J14" s="27"/>
      <c r="K14" s="27"/>
      <c r="L14" s="27"/>
      <c r="M14" s="27"/>
      <c r="N14" s="27"/>
      <c r="O14" s="27"/>
      <c r="P14" s="148"/>
    </row>
    <row r="15" spans="2:16" x14ac:dyDescent="0.25">
      <c r="B15" s="146"/>
      <c r="C15" s="207" t="s">
        <v>154</v>
      </c>
      <c r="D15" s="43"/>
      <c r="E15" s="43"/>
      <c r="F15" s="43"/>
      <c r="G15" s="43"/>
      <c r="H15" s="226"/>
      <c r="I15" s="224"/>
      <c r="J15" s="27"/>
      <c r="K15" s="27"/>
      <c r="L15" s="27"/>
      <c r="M15" s="27"/>
      <c r="N15" s="27"/>
      <c r="O15" s="27"/>
      <c r="P15" s="148"/>
    </row>
    <row r="16" spans="2:16" x14ac:dyDescent="0.25">
      <c r="B16" s="146"/>
      <c r="C16" s="27"/>
      <c r="D16" s="206"/>
      <c r="E16" s="27"/>
      <c r="F16" s="27"/>
      <c r="G16" s="27"/>
      <c r="H16" s="27"/>
      <c r="I16" s="206"/>
      <c r="J16" s="27"/>
      <c r="K16" s="27"/>
      <c r="L16" s="27"/>
      <c r="M16" s="27"/>
      <c r="N16" s="27"/>
      <c r="O16" s="27"/>
      <c r="P16" s="148"/>
    </row>
    <row r="17" spans="2:16" x14ac:dyDescent="0.25">
      <c r="B17" s="146"/>
      <c r="C17" s="27" t="s">
        <v>155</v>
      </c>
      <c r="D17" s="27"/>
      <c r="E17" s="27"/>
      <c r="F17" s="27"/>
      <c r="G17" s="27"/>
      <c r="H17" s="27"/>
      <c r="I17" s="27"/>
      <c r="J17" s="27"/>
      <c r="K17" s="27"/>
      <c r="L17" s="27"/>
      <c r="M17" s="27"/>
      <c r="N17" s="27"/>
      <c r="O17" s="27"/>
      <c r="P17" s="148"/>
    </row>
    <row r="18" spans="2:16" ht="45.75" thickBot="1" x14ac:dyDescent="0.3">
      <c r="B18" s="146"/>
      <c r="C18" s="33" t="s">
        <v>156</v>
      </c>
      <c r="D18" s="33" t="s">
        <v>157</v>
      </c>
      <c r="E18" s="33" t="s">
        <v>158</v>
      </c>
      <c r="F18" s="33" t="s">
        <v>159</v>
      </c>
      <c r="G18" s="33" t="s">
        <v>160</v>
      </c>
      <c r="H18" s="33" t="s">
        <v>161</v>
      </c>
      <c r="I18" s="33" t="s">
        <v>162</v>
      </c>
      <c r="J18" s="46" t="s">
        <v>163</v>
      </c>
      <c r="K18" s="33" t="s">
        <v>164</v>
      </c>
      <c r="L18" s="39" t="s">
        <v>165</v>
      </c>
      <c r="M18" s="46" t="s">
        <v>166</v>
      </c>
      <c r="N18" s="33" t="s">
        <v>167</v>
      </c>
      <c r="O18" s="145" t="s">
        <v>168</v>
      </c>
      <c r="P18" s="124"/>
    </row>
    <row r="19" spans="2:16" ht="17.25" customHeight="1" thickTop="1" x14ac:dyDescent="0.25">
      <c r="B19" s="146"/>
      <c r="C19" s="208" t="s">
        <v>169</v>
      </c>
      <c r="D19" s="208" t="s">
        <v>170</v>
      </c>
      <c r="E19" s="208" t="b">
        <v>1</v>
      </c>
      <c r="F19" s="208" t="s">
        <v>171</v>
      </c>
      <c r="G19" s="208" t="s">
        <v>172</v>
      </c>
      <c r="H19" s="34" t="str">
        <f>C19&amp;"|"&amp;D19&amp;"|"&amp;E19&amp;"|"&amp;F19&amp;"|"&amp;G19</f>
        <v>Itchen|Cereals|TRUE|700to900|FreeDrain</v>
      </c>
      <c r="I19" s="199">
        <v>0.1</v>
      </c>
      <c r="J19" s="48">
        <v>28.76</v>
      </c>
      <c r="K19" s="34" t="str">
        <f t="shared" ref="K19:K42" si="2">D19&amp;"|"&amp;F19</f>
        <v>Cereals|700to900</v>
      </c>
      <c r="L19" s="44">
        <f>AVERAGE(I19:I21)</f>
        <v>0.58333333333333337</v>
      </c>
      <c r="M19" s="199">
        <f>AVERAGE(J19:J21)</f>
        <v>23.810000000000002</v>
      </c>
      <c r="N19" s="49">
        <f>AVERAGE(I19:I22)</f>
        <v>0.48249999999999998</v>
      </c>
      <c r="O19" s="35">
        <f>AVERAGE(J19:J22)</f>
        <v>25.5</v>
      </c>
      <c r="P19" s="124"/>
    </row>
    <row r="20" spans="2:16" x14ac:dyDescent="0.25">
      <c r="B20" s="146"/>
      <c r="C20" s="208" t="s">
        <v>169</v>
      </c>
      <c r="D20" s="208" t="s">
        <v>170</v>
      </c>
      <c r="E20" s="208" t="b">
        <v>1</v>
      </c>
      <c r="F20" s="208" t="s">
        <v>171</v>
      </c>
      <c r="G20" s="208" t="s">
        <v>173</v>
      </c>
      <c r="H20" s="34" t="str">
        <f t="shared" ref="H20:H42" si="3">C20&amp;"|"&amp;D20&amp;"|"&amp;E20&amp;"|"&amp;F20&amp;"|"&amp;G20</f>
        <v>Itchen|Cereals|TRUE|700to900|DrainedAr</v>
      </c>
      <c r="I20" s="143">
        <v>0.7</v>
      </c>
      <c r="J20" s="49">
        <v>22.06</v>
      </c>
      <c r="K20" s="34" t="str">
        <f t="shared" si="2"/>
        <v>Cereals|700to900</v>
      </c>
      <c r="L20" s="143">
        <f>AVERAGE(I19:I21)</f>
        <v>0.58333333333333337</v>
      </c>
      <c r="M20" s="143">
        <f>AVERAGE(J19:J21)</f>
        <v>23.810000000000002</v>
      </c>
      <c r="N20" s="49"/>
      <c r="O20" s="35"/>
      <c r="P20" s="124"/>
    </row>
    <row r="21" spans="2:16" x14ac:dyDescent="0.25">
      <c r="B21" s="146"/>
      <c r="C21" s="208" t="s">
        <v>169</v>
      </c>
      <c r="D21" s="208" t="s">
        <v>170</v>
      </c>
      <c r="E21" s="208" t="b">
        <v>1</v>
      </c>
      <c r="F21" s="208" t="s">
        <v>171</v>
      </c>
      <c r="G21" s="208" t="s">
        <v>174</v>
      </c>
      <c r="H21" s="34" t="str">
        <f t="shared" si="3"/>
        <v>Itchen|Cereals|TRUE|700to900|DrainedArGr</v>
      </c>
      <c r="I21" s="143">
        <v>0.95</v>
      </c>
      <c r="J21" s="49">
        <v>20.61</v>
      </c>
      <c r="K21" s="34" t="str">
        <f t="shared" si="2"/>
        <v>Cereals|700to900</v>
      </c>
      <c r="L21" s="197">
        <f>AVERAGE(I19:I21)</f>
        <v>0.58333333333333337</v>
      </c>
      <c r="M21" s="197">
        <f>AVERAGE(J19:J21)</f>
        <v>23.810000000000002</v>
      </c>
      <c r="N21" s="200"/>
      <c r="O21" s="198"/>
      <c r="P21" s="124"/>
    </row>
    <row r="22" spans="2:16" x14ac:dyDescent="0.25">
      <c r="B22" s="146"/>
      <c r="C22" s="208" t="s">
        <v>169</v>
      </c>
      <c r="D22" s="208" t="s">
        <v>170</v>
      </c>
      <c r="E22" s="208" t="b">
        <v>1</v>
      </c>
      <c r="F22" s="208" t="s">
        <v>175</v>
      </c>
      <c r="G22" s="208" t="s">
        <v>172</v>
      </c>
      <c r="H22" s="34" t="str">
        <f t="shared" si="3"/>
        <v>Itchen|Cereals|TRUE|900to1200|FreeDrain</v>
      </c>
      <c r="I22" s="143">
        <v>0.18</v>
      </c>
      <c r="J22" s="49">
        <v>30.57</v>
      </c>
      <c r="K22" s="34" t="str">
        <f t="shared" si="2"/>
        <v>Cereals|900to1200</v>
      </c>
      <c r="L22" s="143">
        <f>AVERAGE(I46)</f>
        <v>1.18</v>
      </c>
      <c r="M22" s="143">
        <f>AVERAGE(J46)</f>
        <v>26.81</v>
      </c>
      <c r="N22" s="49"/>
      <c r="O22" s="35"/>
      <c r="P22" s="124"/>
    </row>
    <row r="23" spans="2:16" x14ac:dyDescent="0.25">
      <c r="B23" s="146"/>
      <c r="C23" s="208" t="s">
        <v>169</v>
      </c>
      <c r="D23" s="208" t="s">
        <v>176</v>
      </c>
      <c r="E23" s="208" t="b">
        <v>1</v>
      </c>
      <c r="F23" s="208" t="s">
        <v>171</v>
      </c>
      <c r="G23" s="208" t="s">
        <v>172</v>
      </c>
      <c r="H23" s="34" t="str">
        <f t="shared" si="3"/>
        <v>Itchen|General|TRUE|700to900|FreeDrain</v>
      </c>
      <c r="I23" s="143">
        <v>0.08</v>
      </c>
      <c r="J23" s="49">
        <v>21.65</v>
      </c>
      <c r="K23" s="34" t="str">
        <f t="shared" si="2"/>
        <v>General|700to900</v>
      </c>
      <c r="L23" s="143">
        <f>AVERAGE(I23:I25)</f>
        <v>0.43333333333333329</v>
      </c>
      <c r="M23" s="143">
        <f>AVERAGE(J23:J25)</f>
        <v>17.546666666666663</v>
      </c>
      <c r="N23" s="49">
        <f>AVERAGE(I23:I26)</f>
        <v>0.36</v>
      </c>
      <c r="O23" s="35">
        <f>AVERAGE(J23:J26)</f>
        <v>18.954999999999998</v>
      </c>
      <c r="P23" s="124"/>
    </row>
    <row r="24" spans="2:16" x14ac:dyDescent="0.25">
      <c r="B24" s="146"/>
      <c r="C24" s="208" t="s">
        <v>169</v>
      </c>
      <c r="D24" s="208" t="s">
        <v>176</v>
      </c>
      <c r="E24" s="208" t="b">
        <v>1</v>
      </c>
      <c r="F24" s="208" t="s">
        <v>171</v>
      </c>
      <c r="G24" s="208" t="s">
        <v>173</v>
      </c>
      <c r="H24" s="34" t="str">
        <f t="shared" si="3"/>
        <v>Itchen|General|TRUE|700to900|DrainedAr</v>
      </c>
      <c r="I24" s="143">
        <v>0.49</v>
      </c>
      <c r="J24" s="49">
        <v>16.23</v>
      </c>
      <c r="K24" s="34" t="str">
        <f t="shared" si="2"/>
        <v>General|700to900</v>
      </c>
      <c r="L24" s="143">
        <f>AVERAGE(I23:I25)</f>
        <v>0.43333333333333329</v>
      </c>
      <c r="M24" s="143">
        <f>AVERAGE(J23:J25)</f>
        <v>17.546666666666663</v>
      </c>
      <c r="N24" s="49"/>
      <c r="O24" s="35"/>
      <c r="P24" s="124"/>
    </row>
    <row r="25" spans="2:16" x14ac:dyDescent="0.25">
      <c r="B25" s="146"/>
      <c r="C25" s="208" t="s">
        <v>169</v>
      </c>
      <c r="D25" s="208" t="s">
        <v>176</v>
      </c>
      <c r="E25" s="208" t="b">
        <v>1</v>
      </c>
      <c r="F25" s="208" t="s">
        <v>171</v>
      </c>
      <c r="G25" s="208" t="s">
        <v>174</v>
      </c>
      <c r="H25" s="34" t="str">
        <f t="shared" si="3"/>
        <v>Itchen|General|TRUE|700to900|DrainedArGr</v>
      </c>
      <c r="I25" s="143">
        <v>0.73</v>
      </c>
      <c r="J25" s="49">
        <v>14.76</v>
      </c>
      <c r="K25" s="34" t="str">
        <f t="shared" si="2"/>
        <v>General|700to900</v>
      </c>
      <c r="L25" s="197">
        <f>AVERAGE(I23:I25)</f>
        <v>0.43333333333333329</v>
      </c>
      <c r="M25" s="197">
        <f>AVERAGE(J23:J25)</f>
        <v>17.546666666666663</v>
      </c>
      <c r="N25" s="200"/>
      <c r="O25" s="198"/>
      <c r="P25" s="124"/>
    </row>
    <row r="26" spans="2:16" x14ac:dyDescent="0.25">
      <c r="B26" s="146"/>
      <c r="C26" s="208" t="s">
        <v>169</v>
      </c>
      <c r="D26" s="208" t="s">
        <v>176</v>
      </c>
      <c r="E26" s="208" t="b">
        <v>1</v>
      </c>
      <c r="F26" s="208" t="s">
        <v>175</v>
      </c>
      <c r="G26" s="208" t="s">
        <v>172</v>
      </c>
      <c r="H26" s="34" t="str">
        <f t="shared" si="3"/>
        <v>Itchen|General|TRUE|900to1200|FreeDrain</v>
      </c>
      <c r="I26" s="143">
        <v>0.14000000000000001</v>
      </c>
      <c r="J26" s="49">
        <v>23.18</v>
      </c>
      <c r="K26" s="34" t="str">
        <f t="shared" si="2"/>
        <v>General|900to1200</v>
      </c>
      <c r="L26" s="143">
        <f>AVERAGE(I26,I50:I51)</f>
        <v>0.66</v>
      </c>
      <c r="M26" s="143">
        <f>AVERAGE(J26,J50:J51)</f>
        <v>18.14</v>
      </c>
      <c r="N26" s="49"/>
      <c r="O26" s="35"/>
      <c r="P26" s="124"/>
    </row>
    <row r="27" spans="2:16" x14ac:dyDescent="0.25">
      <c r="B27" s="146"/>
      <c r="C27" s="208" t="s">
        <v>169</v>
      </c>
      <c r="D27" s="208" t="s">
        <v>177</v>
      </c>
      <c r="E27" s="208" t="b">
        <v>1</v>
      </c>
      <c r="F27" s="208" t="s">
        <v>171</v>
      </c>
      <c r="G27" s="208" t="s">
        <v>172</v>
      </c>
      <c r="H27" s="34" t="str">
        <f t="shared" si="3"/>
        <v>Itchen|Horticulture|TRUE|700to900|FreeDrain</v>
      </c>
      <c r="I27" s="143">
        <v>0.09</v>
      </c>
      <c r="J27" s="49">
        <v>21.82</v>
      </c>
      <c r="K27" s="34" t="str">
        <f t="shared" si="2"/>
        <v>Horticulture|700to900</v>
      </c>
      <c r="L27" s="143">
        <f>AVERAGE(I27,I28)</f>
        <v>0.47</v>
      </c>
      <c r="M27" s="143">
        <f>AVERAGE(J27,J28)</f>
        <v>18.11</v>
      </c>
      <c r="N27" s="49">
        <f>AVERAGE(I27:I29)</f>
        <v>0.36666666666666664</v>
      </c>
      <c r="O27" s="35">
        <f>AVERAGE(J27:J29)</f>
        <v>19.88</v>
      </c>
      <c r="P27" s="124"/>
    </row>
    <row r="28" spans="2:16" x14ac:dyDescent="0.25">
      <c r="B28" s="146"/>
      <c r="C28" s="208" t="s">
        <v>169</v>
      </c>
      <c r="D28" s="208" t="s">
        <v>177</v>
      </c>
      <c r="E28" s="208" t="b">
        <v>1</v>
      </c>
      <c r="F28" s="208" t="s">
        <v>171</v>
      </c>
      <c r="G28" s="208" t="s">
        <v>174</v>
      </c>
      <c r="H28" s="34" t="str">
        <f t="shared" si="3"/>
        <v>Itchen|Horticulture|TRUE|700to900|DrainedArGr</v>
      </c>
      <c r="I28" s="143">
        <v>0.85</v>
      </c>
      <c r="J28" s="49">
        <v>14.4</v>
      </c>
      <c r="K28" s="34" t="str">
        <f t="shared" si="2"/>
        <v>Horticulture|700to900</v>
      </c>
      <c r="L28" s="45">
        <f>AVERAGE(I27,I28)</f>
        <v>0.47</v>
      </c>
      <c r="M28" s="143">
        <f>AVERAGE(J27,J28)</f>
        <v>18.11</v>
      </c>
      <c r="N28" s="49"/>
      <c r="O28" s="35"/>
      <c r="P28" s="124"/>
    </row>
    <row r="29" spans="2:16" x14ac:dyDescent="0.25">
      <c r="B29" s="146"/>
      <c r="C29" s="208" t="s">
        <v>169</v>
      </c>
      <c r="D29" s="208" t="s">
        <v>177</v>
      </c>
      <c r="E29" s="208" t="b">
        <v>1</v>
      </c>
      <c r="F29" s="208" t="s">
        <v>175</v>
      </c>
      <c r="G29" s="208" t="s">
        <v>172</v>
      </c>
      <c r="H29" s="34" t="str">
        <f t="shared" si="3"/>
        <v>Itchen|Horticulture|TRUE|900to1200|FreeDrain</v>
      </c>
      <c r="I29" s="143">
        <v>0.16</v>
      </c>
      <c r="J29" s="49">
        <v>23.42</v>
      </c>
      <c r="K29" s="34" t="str">
        <f t="shared" si="2"/>
        <v>Horticulture|900to1200</v>
      </c>
      <c r="L29" s="45">
        <f>AVERAGE(I29,I55:I56)</f>
        <v>0.79999999999999993</v>
      </c>
      <c r="M29" s="143">
        <f>AVERAGE(J29,J55:J56)</f>
        <v>19.103333333333335</v>
      </c>
      <c r="N29" s="49"/>
      <c r="O29" s="35"/>
      <c r="P29" s="124"/>
    </row>
    <row r="30" spans="2:16" x14ac:dyDescent="0.25">
      <c r="B30" s="146"/>
      <c r="C30" s="208" t="s">
        <v>169</v>
      </c>
      <c r="D30" s="208" t="s">
        <v>178</v>
      </c>
      <c r="E30" s="208" t="b">
        <v>1</v>
      </c>
      <c r="F30" s="208" t="s">
        <v>171</v>
      </c>
      <c r="G30" s="208" t="s">
        <v>172</v>
      </c>
      <c r="H30" s="34" t="str">
        <f t="shared" si="3"/>
        <v>Itchen|Poultry|TRUE|700to900|FreeDrain</v>
      </c>
      <c r="I30" s="143">
        <v>0.09</v>
      </c>
      <c r="J30" s="49">
        <v>78.56</v>
      </c>
      <c r="K30" s="34" t="str">
        <f t="shared" si="2"/>
        <v>Poultry|700to900</v>
      </c>
      <c r="L30" s="45">
        <f>AVERAGE(I30,I61)</f>
        <v>0.51500000000000001</v>
      </c>
      <c r="M30" s="143">
        <f>AVERAGE(J30,J61)</f>
        <v>85.43</v>
      </c>
      <c r="N30" s="49">
        <f>AVERAGE(I30:I32)</f>
        <v>0.13</v>
      </c>
      <c r="O30" s="35">
        <f>AVERAGE(J30:J32)</f>
        <v>81.13666666666667</v>
      </c>
      <c r="P30" s="148"/>
    </row>
    <row r="31" spans="2:16" x14ac:dyDescent="0.25">
      <c r="B31" s="146"/>
      <c r="C31" s="208" t="s">
        <v>169</v>
      </c>
      <c r="D31" s="208" t="s">
        <v>178</v>
      </c>
      <c r="E31" s="208" t="b">
        <v>0</v>
      </c>
      <c r="F31" s="208" t="s">
        <v>175</v>
      </c>
      <c r="G31" s="208" t="s">
        <v>172</v>
      </c>
      <c r="H31" s="34" t="str">
        <f t="shared" si="3"/>
        <v>Itchen|Poultry|FALSE|900to1200|FreeDrain</v>
      </c>
      <c r="I31" s="143">
        <v>0.15</v>
      </c>
      <c r="J31" s="49">
        <v>82.28</v>
      </c>
      <c r="K31" s="34" t="str">
        <f t="shared" si="2"/>
        <v>Poultry|900to1200</v>
      </c>
      <c r="L31" s="45">
        <f>AVERAGE(I31,I62:I63)</f>
        <v>0.82666666666666666</v>
      </c>
      <c r="M31" s="143">
        <f>AVERAGE(J31,J62:J63)</f>
        <v>107.81</v>
      </c>
      <c r="N31" s="49"/>
      <c r="O31" s="35"/>
      <c r="P31" s="124"/>
    </row>
    <row r="32" spans="2:16" x14ac:dyDescent="0.25">
      <c r="B32" s="146"/>
      <c r="C32" s="208" t="s">
        <v>169</v>
      </c>
      <c r="D32" s="208" t="s">
        <v>178</v>
      </c>
      <c r="E32" s="208" t="b">
        <v>1</v>
      </c>
      <c r="F32" s="208" t="s">
        <v>175</v>
      </c>
      <c r="G32" s="208" t="s">
        <v>172</v>
      </c>
      <c r="H32" s="34" t="str">
        <f t="shared" si="3"/>
        <v>Itchen|Poultry|TRUE|900to1200|FreeDrain</v>
      </c>
      <c r="I32" s="143">
        <v>0.15</v>
      </c>
      <c r="J32" s="49">
        <v>82.57</v>
      </c>
      <c r="K32" s="34" t="str">
        <f t="shared" si="2"/>
        <v>Poultry|900to1200</v>
      </c>
      <c r="L32" s="45">
        <f>AVERAGE(I32,I62:I63)</f>
        <v>0.82666666666666666</v>
      </c>
      <c r="M32" s="143">
        <f>AVERAGE(J32,J62:J63)</f>
        <v>107.90666666666665</v>
      </c>
      <c r="N32" s="49"/>
      <c r="O32" s="35"/>
      <c r="P32" s="124"/>
    </row>
    <row r="33" spans="2:16" x14ac:dyDescent="0.25">
      <c r="B33" s="146"/>
      <c r="C33" s="208" t="s">
        <v>169</v>
      </c>
      <c r="D33" s="208" t="s">
        <v>179</v>
      </c>
      <c r="E33" s="208" t="b">
        <v>1</v>
      </c>
      <c r="F33" s="208" t="s">
        <v>171</v>
      </c>
      <c r="G33" s="208" t="s">
        <v>172</v>
      </c>
      <c r="H33" s="34" t="str">
        <f t="shared" si="3"/>
        <v>Itchen|Dairy|TRUE|700to900|FreeDrain</v>
      </c>
      <c r="I33" s="143">
        <v>0.12</v>
      </c>
      <c r="J33" s="49">
        <v>47.12</v>
      </c>
      <c r="K33" s="34" t="str">
        <f t="shared" si="2"/>
        <v>Dairy|700to900</v>
      </c>
      <c r="L33" s="45">
        <f>AVERAGE(I33:I34)</f>
        <v>0.67999999999999994</v>
      </c>
      <c r="M33" s="143">
        <f>AVERAGE(J33:J34)</f>
        <v>34.14</v>
      </c>
      <c r="N33" s="49">
        <f>AVERAGE(I33:I34)</f>
        <v>0.67999999999999994</v>
      </c>
      <c r="O33" s="35">
        <f>AVERAGE(J33:J34)</f>
        <v>34.14</v>
      </c>
      <c r="P33" s="124"/>
    </row>
    <row r="34" spans="2:16" x14ac:dyDescent="0.25">
      <c r="B34" s="146"/>
      <c r="C34" s="208" t="s">
        <v>169</v>
      </c>
      <c r="D34" s="208" t="s">
        <v>179</v>
      </c>
      <c r="E34" s="208" t="b">
        <v>1</v>
      </c>
      <c r="F34" s="208" t="s">
        <v>171</v>
      </c>
      <c r="G34" s="208" t="s">
        <v>174</v>
      </c>
      <c r="H34" s="34" t="str">
        <f t="shared" si="3"/>
        <v>Itchen|Dairy|TRUE|700to900|DrainedArGr</v>
      </c>
      <c r="I34" s="143">
        <v>1.24</v>
      </c>
      <c r="J34" s="49">
        <v>21.16</v>
      </c>
      <c r="K34" s="34" t="str">
        <f t="shared" si="2"/>
        <v>Dairy|700to900</v>
      </c>
      <c r="L34" s="45">
        <f>AVERAGE(I33:I34)</f>
        <v>0.67999999999999994</v>
      </c>
      <c r="M34" s="143">
        <f>AVERAGE(J33:J34)</f>
        <v>34.14</v>
      </c>
      <c r="N34" s="49"/>
      <c r="O34" s="35"/>
      <c r="P34" s="124"/>
    </row>
    <row r="35" spans="2:16" x14ac:dyDescent="0.25">
      <c r="B35" s="146"/>
      <c r="C35" s="208" t="s">
        <v>169</v>
      </c>
      <c r="D35" s="208" t="s">
        <v>180</v>
      </c>
      <c r="E35" s="208" t="b">
        <v>1</v>
      </c>
      <c r="F35" s="208" t="s">
        <v>171</v>
      </c>
      <c r="G35" s="208" t="s">
        <v>172</v>
      </c>
      <c r="H35" s="34" t="str">
        <f t="shared" si="3"/>
        <v>Itchen|Lowland|TRUE|700to900|FreeDrain</v>
      </c>
      <c r="I35" s="143">
        <v>0.06</v>
      </c>
      <c r="J35" s="49">
        <v>13.13</v>
      </c>
      <c r="K35" s="34" t="str">
        <f t="shared" si="2"/>
        <v>Lowland|700to900</v>
      </c>
      <c r="L35" s="45">
        <f>AVERAGE(I35:I37)</f>
        <v>0.27999999999999997</v>
      </c>
      <c r="M35" s="143">
        <f>AVERAGE(J35:J37)</f>
        <v>10.209999999999999</v>
      </c>
      <c r="N35" s="49">
        <f>AVERAGE(I35:I39)</f>
        <v>0.21200000000000002</v>
      </c>
      <c r="O35" s="35">
        <f>AVERAGE(J35:J39)</f>
        <v>11.756</v>
      </c>
      <c r="P35" s="124"/>
    </row>
    <row r="36" spans="2:16" x14ac:dyDescent="0.25">
      <c r="B36" s="146"/>
      <c r="C36" s="208" t="s">
        <v>169</v>
      </c>
      <c r="D36" s="208" t="s">
        <v>180</v>
      </c>
      <c r="E36" s="208" t="b">
        <v>1</v>
      </c>
      <c r="F36" s="208" t="s">
        <v>171</v>
      </c>
      <c r="G36" s="208" t="s">
        <v>173</v>
      </c>
      <c r="H36" s="34" t="str">
        <f t="shared" si="3"/>
        <v>Itchen|Lowland|TRUE|700to900|DrainedAr</v>
      </c>
      <c r="I36" s="143">
        <v>0.18</v>
      </c>
      <c r="J36" s="49">
        <v>10.16</v>
      </c>
      <c r="K36" s="34" t="str">
        <f t="shared" si="2"/>
        <v>Lowland|700to900</v>
      </c>
      <c r="L36" s="45">
        <f>AVERAGE(I35:I37)</f>
        <v>0.27999999999999997</v>
      </c>
      <c r="M36" s="143">
        <f>AVERAGE(J35:J37)</f>
        <v>10.209999999999999</v>
      </c>
      <c r="N36" s="49"/>
      <c r="O36" s="35"/>
      <c r="P36" s="124"/>
    </row>
    <row r="37" spans="2:16" x14ac:dyDescent="0.25">
      <c r="B37" s="146"/>
      <c r="C37" s="208" t="s">
        <v>169</v>
      </c>
      <c r="D37" s="208" t="s">
        <v>180</v>
      </c>
      <c r="E37" s="208" t="b">
        <v>1</v>
      </c>
      <c r="F37" s="208" t="s">
        <v>171</v>
      </c>
      <c r="G37" s="208" t="s">
        <v>174</v>
      </c>
      <c r="H37" s="34" t="str">
        <f t="shared" si="3"/>
        <v>Itchen|Lowland|TRUE|700to900|DrainedArGr</v>
      </c>
      <c r="I37" s="143">
        <v>0.6</v>
      </c>
      <c r="J37" s="49">
        <v>7.34</v>
      </c>
      <c r="K37" s="34" t="str">
        <f t="shared" si="2"/>
        <v>Lowland|700to900</v>
      </c>
      <c r="L37" s="45">
        <f>AVERAGE(I35:I37)</f>
        <v>0.27999999999999997</v>
      </c>
      <c r="M37" s="143">
        <f>AVERAGE(J35:J37)</f>
        <v>10.209999999999999</v>
      </c>
      <c r="N37" s="49"/>
      <c r="O37" s="35"/>
      <c r="P37" s="193"/>
    </row>
    <row r="38" spans="2:16" x14ac:dyDescent="0.25">
      <c r="B38" s="146"/>
      <c r="C38" s="208" t="s">
        <v>169</v>
      </c>
      <c r="D38" s="208" t="s">
        <v>180</v>
      </c>
      <c r="E38" s="208" t="b">
        <v>0</v>
      </c>
      <c r="F38" s="208" t="s">
        <v>175</v>
      </c>
      <c r="G38" s="208" t="s">
        <v>172</v>
      </c>
      <c r="H38" s="43" t="str">
        <f t="shared" si="3"/>
        <v>Itchen|Lowland|FALSE|900to1200|FreeDrain</v>
      </c>
      <c r="I38" s="143">
        <v>0.11</v>
      </c>
      <c r="J38" s="49">
        <v>14.12</v>
      </c>
      <c r="K38" s="34" t="str">
        <f t="shared" si="2"/>
        <v>Lowland|900to1200</v>
      </c>
      <c r="L38" s="45">
        <f>AVERAGE(I38,I71:I72)</f>
        <v>0.49666666666666665</v>
      </c>
      <c r="M38" s="143">
        <f>AVERAGE(J38,J71:J72)</f>
        <v>12.299999999999999</v>
      </c>
      <c r="N38" s="49"/>
      <c r="O38" s="35"/>
      <c r="P38" s="124"/>
    </row>
    <row r="39" spans="2:16" x14ac:dyDescent="0.25">
      <c r="B39" s="146"/>
      <c r="C39" s="208" t="s">
        <v>169</v>
      </c>
      <c r="D39" s="208" t="s">
        <v>180</v>
      </c>
      <c r="E39" s="208" t="b">
        <v>1</v>
      </c>
      <c r="F39" s="208" t="s">
        <v>175</v>
      </c>
      <c r="G39" s="208" t="s">
        <v>172</v>
      </c>
      <c r="H39" s="43" t="str">
        <f t="shared" si="3"/>
        <v>Itchen|Lowland|TRUE|900to1200|FreeDrain</v>
      </c>
      <c r="I39" s="143">
        <v>0.11</v>
      </c>
      <c r="J39" s="49">
        <v>14.03</v>
      </c>
      <c r="K39" s="34" t="str">
        <f t="shared" si="2"/>
        <v>Lowland|900to1200</v>
      </c>
      <c r="L39" s="45">
        <f>AVERAGE(I39,I71:I72)</f>
        <v>0.49666666666666665</v>
      </c>
      <c r="M39" s="143">
        <f>AVERAGE(J39,J71:J72)</f>
        <v>12.270000000000001</v>
      </c>
      <c r="N39" s="49"/>
      <c r="O39" s="35"/>
      <c r="P39" s="124"/>
    </row>
    <row r="40" spans="2:16" x14ac:dyDescent="0.25">
      <c r="B40" s="146"/>
      <c r="C40" s="208" t="s">
        <v>169</v>
      </c>
      <c r="D40" s="208" t="s">
        <v>181</v>
      </c>
      <c r="E40" s="208" t="b">
        <v>1</v>
      </c>
      <c r="F40" s="208" t="s">
        <v>171</v>
      </c>
      <c r="G40" s="208" t="s">
        <v>172</v>
      </c>
      <c r="H40" s="43" t="str">
        <f t="shared" si="3"/>
        <v>Itchen|Mixed|TRUE|700to900|FreeDrain</v>
      </c>
      <c r="I40" s="143">
        <v>0.1</v>
      </c>
      <c r="J40" s="49">
        <v>26.32</v>
      </c>
      <c r="K40" s="34" t="str">
        <f t="shared" si="2"/>
        <v>Mixed|700to900</v>
      </c>
      <c r="L40" s="45">
        <f>AVERAGE(I40:I41)</f>
        <v>0.33499999999999996</v>
      </c>
      <c r="M40" s="143">
        <f>AVERAGE(J40:J41)</f>
        <v>23.259999999999998</v>
      </c>
      <c r="N40" s="49">
        <f>AVERAGE(I40:I42)</f>
        <v>0.27999999999999997</v>
      </c>
      <c r="O40" s="35">
        <f>AVERAGE(J40:J42)</f>
        <v>24.823333333333334</v>
      </c>
      <c r="P40" s="124"/>
    </row>
    <row r="41" spans="2:16" x14ac:dyDescent="0.25">
      <c r="B41" s="146"/>
      <c r="C41" s="208" t="s">
        <v>169</v>
      </c>
      <c r="D41" s="208" t="s">
        <v>181</v>
      </c>
      <c r="E41" s="208" t="b">
        <v>1</v>
      </c>
      <c r="F41" s="208" t="s">
        <v>171</v>
      </c>
      <c r="G41" s="208" t="s">
        <v>173</v>
      </c>
      <c r="H41" s="43" t="str">
        <f t="shared" si="3"/>
        <v>Itchen|Mixed|TRUE|700to900|DrainedAr</v>
      </c>
      <c r="I41" s="143">
        <v>0.56999999999999995</v>
      </c>
      <c r="J41" s="49">
        <v>20.2</v>
      </c>
      <c r="K41" s="34" t="str">
        <f t="shared" si="2"/>
        <v>Mixed|700to900</v>
      </c>
      <c r="L41" s="45">
        <f>AVERAGE(I40:I41)</f>
        <v>0.33499999999999996</v>
      </c>
      <c r="M41" s="143">
        <f>AVERAGE(J40:J41)</f>
        <v>23.259999999999998</v>
      </c>
      <c r="N41" s="49"/>
      <c r="O41" s="35"/>
      <c r="P41" s="124"/>
    </row>
    <row r="42" spans="2:16" x14ac:dyDescent="0.25">
      <c r="B42" s="146"/>
      <c r="C42" s="208" t="s">
        <v>169</v>
      </c>
      <c r="D42" s="208" t="s">
        <v>181</v>
      </c>
      <c r="E42" s="208" t="b">
        <v>1</v>
      </c>
      <c r="F42" s="208" t="s">
        <v>175</v>
      </c>
      <c r="G42" s="208" t="s">
        <v>172</v>
      </c>
      <c r="H42" s="43" t="str">
        <f t="shared" si="3"/>
        <v>Itchen|Mixed|TRUE|900to1200|FreeDrain</v>
      </c>
      <c r="I42" s="143">
        <v>0.17</v>
      </c>
      <c r="J42" s="143">
        <v>27.95</v>
      </c>
      <c r="K42" s="34" t="str">
        <f t="shared" si="2"/>
        <v>Mixed|900to1200</v>
      </c>
      <c r="L42" s="45">
        <f>AVERAGE(I42,I75:I76)</f>
        <v>0.79</v>
      </c>
      <c r="M42" s="143">
        <f>AVERAGE(J42,J75:J76)</f>
        <v>23.653333333333336</v>
      </c>
      <c r="N42" s="49"/>
      <c r="O42" s="35"/>
      <c r="P42" s="124"/>
    </row>
    <row r="43" spans="2:16" x14ac:dyDescent="0.25">
      <c r="B43" s="146"/>
      <c r="C43" s="208" t="s">
        <v>182</v>
      </c>
      <c r="D43" s="208" t="s">
        <v>170</v>
      </c>
      <c r="E43" s="208" t="b">
        <v>1</v>
      </c>
      <c r="F43" s="208" t="s">
        <v>171</v>
      </c>
      <c r="G43" s="208" t="s">
        <v>172</v>
      </c>
      <c r="H43" s="43" t="str">
        <f t="shared" ref="H43:H92" si="4">D43&amp;"|"&amp;E43&amp;"|"&amp;F43&amp;"|"&amp;G43</f>
        <v>Cereals|TRUE|700to900|FreeDrain</v>
      </c>
      <c r="I43" s="143">
        <v>0.13</v>
      </c>
      <c r="J43" s="143">
        <v>27.04</v>
      </c>
      <c r="K43" s="34" t="str">
        <f t="shared" ref="K43:K92" si="5">D43&amp;"|"&amp;F43</f>
        <v>Cereals|700to900</v>
      </c>
      <c r="L43" s="143">
        <f>I43</f>
        <v>0.13</v>
      </c>
      <c r="M43" s="143">
        <f>J43</f>
        <v>27.04</v>
      </c>
      <c r="N43" s="49"/>
      <c r="O43" s="35"/>
      <c r="P43" s="124"/>
    </row>
    <row r="44" spans="2:16" x14ac:dyDescent="0.25">
      <c r="B44" s="146"/>
      <c r="C44" s="208" t="s">
        <v>182</v>
      </c>
      <c r="D44" s="208" t="s">
        <v>170</v>
      </c>
      <c r="E44" s="208" t="b">
        <v>1</v>
      </c>
      <c r="F44" s="208" t="s">
        <v>171</v>
      </c>
      <c r="G44" s="208" t="s">
        <v>173</v>
      </c>
      <c r="H44" s="43" t="str">
        <f t="shared" si="4"/>
        <v>Cereals|TRUE|700to900|DrainedAr</v>
      </c>
      <c r="I44" s="143">
        <v>0.62</v>
      </c>
      <c r="J44" s="143">
        <v>20.93</v>
      </c>
      <c r="K44" s="34" t="str">
        <f t="shared" si="5"/>
        <v>Cereals|700to900</v>
      </c>
      <c r="L44" s="143">
        <f t="shared" ref="L44:L92" si="6">I44</f>
        <v>0.62</v>
      </c>
      <c r="M44" s="143">
        <f t="shared" ref="M44:M92" si="7">J44</f>
        <v>20.93</v>
      </c>
      <c r="N44" s="49"/>
      <c r="O44" s="35"/>
      <c r="P44" s="124"/>
    </row>
    <row r="45" spans="2:16" x14ac:dyDescent="0.25">
      <c r="B45" s="146"/>
      <c r="C45" s="208" t="s">
        <v>182</v>
      </c>
      <c r="D45" s="208" t="s">
        <v>170</v>
      </c>
      <c r="E45" s="208" t="b">
        <v>1</v>
      </c>
      <c r="F45" s="208" t="s">
        <v>171</v>
      </c>
      <c r="G45" s="208" t="s">
        <v>174</v>
      </c>
      <c r="H45" s="43" t="str">
        <f t="shared" si="4"/>
        <v>Cereals|TRUE|700to900|DrainedArGr</v>
      </c>
      <c r="I45" s="143">
        <v>0.87</v>
      </c>
      <c r="J45" s="143">
        <v>19.59</v>
      </c>
      <c r="K45" s="34" t="str">
        <f t="shared" si="5"/>
        <v>Cereals|700to900</v>
      </c>
      <c r="L45" s="143">
        <f t="shared" si="6"/>
        <v>0.87</v>
      </c>
      <c r="M45" s="143">
        <f t="shared" si="7"/>
        <v>19.59</v>
      </c>
      <c r="N45" s="49"/>
      <c r="O45" s="35"/>
      <c r="P45" s="124"/>
    </row>
    <row r="46" spans="2:16" x14ac:dyDescent="0.25">
      <c r="B46" s="146"/>
      <c r="C46" s="208" t="s">
        <v>182</v>
      </c>
      <c r="D46" s="208" t="s">
        <v>170</v>
      </c>
      <c r="E46" s="208" t="b">
        <v>1</v>
      </c>
      <c r="F46" s="208" t="s">
        <v>175</v>
      </c>
      <c r="G46" s="208" t="s">
        <v>173</v>
      </c>
      <c r="H46" s="43" t="str">
        <f t="shared" si="4"/>
        <v>Cereals|TRUE|900to1200|DrainedAr</v>
      </c>
      <c r="I46" s="143">
        <v>1.18</v>
      </c>
      <c r="J46" s="143">
        <v>26.81</v>
      </c>
      <c r="K46" s="34" t="str">
        <f t="shared" si="5"/>
        <v>Cereals|900to1200</v>
      </c>
      <c r="L46" s="143">
        <f t="shared" si="6"/>
        <v>1.18</v>
      </c>
      <c r="M46" s="143">
        <f t="shared" si="7"/>
        <v>26.81</v>
      </c>
      <c r="N46" s="49"/>
      <c r="O46" s="35"/>
      <c r="P46" s="124"/>
    </row>
    <row r="47" spans="2:16" x14ac:dyDescent="0.25">
      <c r="B47" s="146"/>
      <c r="C47" s="208" t="s">
        <v>182</v>
      </c>
      <c r="D47" s="208" t="s">
        <v>176</v>
      </c>
      <c r="E47" s="208" t="b">
        <v>1</v>
      </c>
      <c r="F47" s="208" t="s">
        <v>171</v>
      </c>
      <c r="G47" s="208" t="s">
        <v>172</v>
      </c>
      <c r="H47" s="43" t="str">
        <f t="shared" si="4"/>
        <v>General|TRUE|700to900|FreeDrain</v>
      </c>
      <c r="I47" s="143">
        <v>0.1</v>
      </c>
      <c r="J47" s="143">
        <v>17.95</v>
      </c>
      <c r="K47" s="34" t="str">
        <f t="shared" si="5"/>
        <v>General|700to900</v>
      </c>
      <c r="L47" s="143">
        <f t="shared" si="6"/>
        <v>0.1</v>
      </c>
      <c r="M47" s="143">
        <f t="shared" si="7"/>
        <v>17.95</v>
      </c>
      <c r="N47" s="49"/>
      <c r="O47" s="35"/>
      <c r="P47" s="124"/>
    </row>
    <row r="48" spans="2:16" x14ac:dyDescent="0.25">
      <c r="B48" s="146"/>
      <c r="C48" s="208" t="s">
        <v>182</v>
      </c>
      <c r="D48" s="208" t="s">
        <v>176</v>
      </c>
      <c r="E48" s="208" t="b">
        <v>1</v>
      </c>
      <c r="F48" s="208" t="s">
        <v>171</v>
      </c>
      <c r="G48" s="208" t="s">
        <v>173</v>
      </c>
      <c r="H48" s="43" t="str">
        <f t="shared" si="4"/>
        <v>General|TRUE|700to900|DrainedAr</v>
      </c>
      <c r="I48" s="143">
        <v>0.4</v>
      </c>
      <c r="J48" s="143">
        <v>13.43</v>
      </c>
      <c r="K48" s="34" t="str">
        <f t="shared" si="5"/>
        <v>General|700to900</v>
      </c>
      <c r="L48" s="143">
        <f t="shared" si="6"/>
        <v>0.4</v>
      </c>
      <c r="M48" s="143">
        <f t="shared" si="7"/>
        <v>13.43</v>
      </c>
      <c r="N48" s="49"/>
      <c r="O48" s="35"/>
      <c r="P48" s="124"/>
    </row>
    <row r="49" spans="2:16" x14ac:dyDescent="0.25">
      <c r="B49" s="146"/>
      <c r="C49" s="208" t="s">
        <v>182</v>
      </c>
      <c r="D49" s="208" t="s">
        <v>176</v>
      </c>
      <c r="E49" s="208" t="b">
        <v>1</v>
      </c>
      <c r="F49" s="208" t="s">
        <v>171</v>
      </c>
      <c r="G49" s="208" t="s">
        <v>174</v>
      </c>
      <c r="H49" s="43" t="str">
        <f t="shared" si="4"/>
        <v>General|TRUE|700to900|DrainedArGr</v>
      </c>
      <c r="I49" s="143">
        <v>0.64</v>
      </c>
      <c r="J49" s="143">
        <v>12.05</v>
      </c>
      <c r="K49" s="34" t="str">
        <f t="shared" si="5"/>
        <v>General|700to900</v>
      </c>
      <c r="L49" s="143">
        <f t="shared" si="6"/>
        <v>0.64</v>
      </c>
      <c r="M49" s="143">
        <f t="shared" si="7"/>
        <v>12.05</v>
      </c>
      <c r="N49" s="49"/>
      <c r="O49" s="35"/>
      <c r="P49" s="124"/>
    </row>
    <row r="50" spans="2:16" x14ac:dyDescent="0.25">
      <c r="B50" s="146"/>
      <c r="C50" s="208" t="s">
        <v>182</v>
      </c>
      <c r="D50" s="208" t="s">
        <v>176</v>
      </c>
      <c r="E50" s="208" t="b">
        <v>1</v>
      </c>
      <c r="F50" s="208" t="s">
        <v>175</v>
      </c>
      <c r="G50" s="208" t="s">
        <v>173</v>
      </c>
      <c r="H50" s="43" t="str">
        <f t="shared" si="4"/>
        <v>General|TRUE|900to1200|DrainedAr</v>
      </c>
      <c r="I50" s="143">
        <v>0.76</v>
      </c>
      <c r="J50" s="143">
        <v>17.149999999999999</v>
      </c>
      <c r="K50" s="34" t="str">
        <f t="shared" si="5"/>
        <v>General|900to1200</v>
      </c>
      <c r="L50" s="143">
        <f t="shared" si="6"/>
        <v>0.76</v>
      </c>
      <c r="M50" s="143">
        <f t="shared" si="7"/>
        <v>17.149999999999999</v>
      </c>
      <c r="N50" s="49"/>
      <c r="O50" s="35"/>
      <c r="P50" s="124"/>
    </row>
    <row r="51" spans="2:16" x14ac:dyDescent="0.25">
      <c r="B51" s="146"/>
      <c r="C51" s="208" t="s">
        <v>182</v>
      </c>
      <c r="D51" s="208" t="s">
        <v>176</v>
      </c>
      <c r="E51" s="208" t="b">
        <v>1</v>
      </c>
      <c r="F51" s="208" t="s">
        <v>175</v>
      </c>
      <c r="G51" s="208" t="s">
        <v>174</v>
      </c>
      <c r="H51" s="43" t="str">
        <f t="shared" si="4"/>
        <v>General|TRUE|900to1200|DrainedArGr</v>
      </c>
      <c r="I51" s="143">
        <v>1.08</v>
      </c>
      <c r="J51" s="143">
        <v>14.09</v>
      </c>
      <c r="K51" s="34" t="str">
        <f t="shared" si="5"/>
        <v>General|900to1200</v>
      </c>
      <c r="L51" s="143">
        <f t="shared" si="6"/>
        <v>1.08</v>
      </c>
      <c r="M51" s="143">
        <f t="shared" si="7"/>
        <v>14.09</v>
      </c>
      <c r="N51" s="49"/>
      <c r="O51" s="35"/>
      <c r="P51" s="124"/>
    </row>
    <row r="52" spans="2:16" x14ac:dyDescent="0.25">
      <c r="B52" s="146"/>
      <c r="C52" s="208" t="s">
        <v>182</v>
      </c>
      <c r="D52" s="208" t="s">
        <v>177</v>
      </c>
      <c r="E52" s="208" t="b">
        <v>1</v>
      </c>
      <c r="F52" s="208" t="s">
        <v>171</v>
      </c>
      <c r="G52" s="208" t="s">
        <v>172</v>
      </c>
      <c r="H52" s="43" t="str">
        <f t="shared" si="4"/>
        <v>Horticulture|TRUE|700to900|FreeDrain</v>
      </c>
      <c r="I52" s="143">
        <v>0.11</v>
      </c>
      <c r="J52" s="143">
        <v>20.27</v>
      </c>
      <c r="K52" s="34" t="str">
        <f t="shared" si="5"/>
        <v>Horticulture|700to900</v>
      </c>
      <c r="L52" s="143">
        <f t="shared" si="6"/>
        <v>0.11</v>
      </c>
      <c r="M52" s="143">
        <f t="shared" si="7"/>
        <v>20.27</v>
      </c>
      <c r="N52" s="49"/>
      <c r="O52" s="35"/>
      <c r="P52" s="124"/>
    </row>
    <row r="53" spans="2:16" x14ac:dyDescent="0.25">
      <c r="B53" s="146"/>
      <c r="C53" s="208" t="s">
        <v>182</v>
      </c>
      <c r="D53" s="208" t="s">
        <v>177</v>
      </c>
      <c r="E53" s="208" t="b">
        <v>1</v>
      </c>
      <c r="F53" s="208" t="s">
        <v>171</v>
      </c>
      <c r="G53" s="208" t="s">
        <v>173</v>
      </c>
      <c r="H53" s="43" t="str">
        <f t="shared" si="4"/>
        <v>Horticulture|TRUE|700to900|DrainedAr</v>
      </c>
      <c r="I53" s="143">
        <v>0.52</v>
      </c>
      <c r="J53" s="143">
        <v>14.82</v>
      </c>
      <c r="K53" s="34" t="str">
        <f t="shared" si="5"/>
        <v>Horticulture|700to900</v>
      </c>
      <c r="L53" s="143">
        <f t="shared" si="6"/>
        <v>0.52</v>
      </c>
      <c r="M53" s="143">
        <f t="shared" si="7"/>
        <v>14.82</v>
      </c>
      <c r="N53" s="49"/>
      <c r="O53" s="35"/>
      <c r="P53" s="124"/>
    </row>
    <row r="54" spans="2:16" x14ac:dyDescent="0.25">
      <c r="B54" s="146"/>
      <c r="C54" s="208" t="s">
        <v>182</v>
      </c>
      <c r="D54" s="208" t="s">
        <v>177</v>
      </c>
      <c r="E54" s="208" t="b">
        <v>1</v>
      </c>
      <c r="F54" s="208" t="s">
        <v>171</v>
      </c>
      <c r="G54" s="208" t="s">
        <v>174</v>
      </c>
      <c r="H54" s="43" t="str">
        <f t="shared" si="4"/>
        <v>Horticulture|TRUE|700to900|DrainedArGr</v>
      </c>
      <c r="I54" s="143">
        <v>0.77</v>
      </c>
      <c r="J54" s="143">
        <v>13.18</v>
      </c>
      <c r="K54" s="34" t="str">
        <f t="shared" si="5"/>
        <v>Horticulture|700to900</v>
      </c>
      <c r="L54" s="143">
        <f t="shared" si="6"/>
        <v>0.77</v>
      </c>
      <c r="M54" s="143">
        <f t="shared" si="7"/>
        <v>13.18</v>
      </c>
      <c r="N54" s="49"/>
      <c r="O54" s="35"/>
      <c r="P54" s="124"/>
    </row>
    <row r="55" spans="2:16" x14ac:dyDescent="0.25">
      <c r="B55" s="146"/>
      <c r="C55" s="208" t="s">
        <v>182</v>
      </c>
      <c r="D55" s="208" t="s">
        <v>177</v>
      </c>
      <c r="E55" s="208" t="b">
        <v>1</v>
      </c>
      <c r="F55" s="208" t="s">
        <v>175</v>
      </c>
      <c r="G55" s="208" t="s">
        <v>173</v>
      </c>
      <c r="H55" s="43" t="str">
        <f t="shared" si="4"/>
        <v>Horticulture|TRUE|900to1200|DrainedAr</v>
      </c>
      <c r="I55" s="143">
        <v>0.98</v>
      </c>
      <c r="J55" s="143">
        <v>18.78</v>
      </c>
      <c r="K55" s="34" t="str">
        <f t="shared" si="5"/>
        <v>Horticulture|900to1200</v>
      </c>
      <c r="L55" s="143">
        <f t="shared" si="6"/>
        <v>0.98</v>
      </c>
      <c r="M55" s="143">
        <f t="shared" si="7"/>
        <v>18.78</v>
      </c>
      <c r="N55" s="49"/>
      <c r="O55" s="35"/>
      <c r="P55" s="124"/>
    </row>
    <row r="56" spans="2:16" x14ac:dyDescent="0.25">
      <c r="B56" s="146"/>
      <c r="C56" s="208" t="s">
        <v>182</v>
      </c>
      <c r="D56" s="208" t="s">
        <v>177</v>
      </c>
      <c r="E56" s="208" t="b">
        <v>1</v>
      </c>
      <c r="F56" s="208" t="s">
        <v>175</v>
      </c>
      <c r="G56" s="208" t="s">
        <v>174</v>
      </c>
      <c r="H56" s="43" t="str">
        <f t="shared" si="4"/>
        <v>Horticulture|TRUE|900to1200|DrainedArGr</v>
      </c>
      <c r="I56" s="143">
        <v>1.26</v>
      </c>
      <c r="J56" s="143">
        <v>15.11</v>
      </c>
      <c r="K56" s="34" t="str">
        <f t="shared" si="5"/>
        <v>Horticulture|900to1200</v>
      </c>
      <c r="L56" s="143">
        <f t="shared" si="6"/>
        <v>1.26</v>
      </c>
      <c r="M56" s="143">
        <f t="shared" si="7"/>
        <v>15.11</v>
      </c>
      <c r="N56" s="49"/>
      <c r="O56" s="35"/>
      <c r="P56" s="124"/>
    </row>
    <row r="57" spans="2:16" x14ac:dyDescent="0.25">
      <c r="B57" s="146"/>
      <c r="C57" s="208" t="s">
        <v>182</v>
      </c>
      <c r="D57" s="208" t="s">
        <v>183</v>
      </c>
      <c r="E57" s="208" t="b">
        <v>1</v>
      </c>
      <c r="F57" s="208" t="s">
        <v>171</v>
      </c>
      <c r="G57" s="208" t="s">
        <v>172</v>
      </c>
      <c r="H57" s="43" t="str">
        <f t="shared" si="4"/>
        <v>Pig|TRUE|700to900|FreeDrain</v>
      </c>
      <c r="I57" s="143">
        <v>0.14000000000000001</v>
      </c>
      <c r="J57" s="143">
        <v>85.33</v>
      </c>
      <c r="K57" s="34" t="str">
        <f t="shared" si="5"/>
        <v>Pig|700to900</v>
      </c>
      <c r="L57" s="143">
        <f t="shared" si="6"/>
        <v>0.14000000000000001</v>
      </c>
      <c r="M57" s="143">
        <f t="shared" si="7"/>
        <v>85.33</v>
      </c>
      <c r="N57" s="49">
        <f>AVERAGE(I57:I59)</f>
        <v>0.91000000000000014</v>
      </c>
      <c r="O57" s="35">
        <f>AVERAGE(J57:J59)</f>
        <v>61.013333333333328</v>
      </c>
      <c r="P57" s="124"/>
    </row>
    <row r="58" spans="2:16" x14ac:dyDescent="0.25">
      <c r="B58" s="146"/>
      <c r="C58" s="208" t="s">
        <v>182</v>
      </c>
      <c r="D58" s="208" t="s">
        <v>183</v>
      </c>
      <c r="E58" s="208" t="b">
        <v>1</v>
      </c>
      <c r="F58" s="208" t="s">
        <v>171</v>
      </c>
      <c r="G58" s="208" t="s">
        <v>174</v>
      </c>
      <c r="H58" s="43" t="str">
        <f t="shared" si="4"/>
        <v>Pig|TRUE|700to900|DrainedArGr</v>
      </c>
      <c r="I58" s="143">
        <v>1.02</v>
      </c>
      <c r="J58" s="143">
        <v>46.64</v>
      </c>
      <c r="K58" s="34" t="str">
        <f t="shared" si="5"/>
        <v>Pig|700to900</v>
      </c>
      <c r="L58" s="143">
        <f t="shared" si="6"/>
        <v>1.02</v>
      </c>
      <c r="M58" s="35">
        <f t="shared" si="7"/>
        <v>46.64</v>
      </c>
      <c r="N58" s="28"/>
      <c r="O58" s="28"/>
      <c r="P58" s="124"/>
    </row>
    <row r="59" spans="2:16" x14ac:dyDescent="0.25">
      <c r="B59" s="146"/>
      <c r="C59" s="208" t="s">
        <v>182</v>
      </c>
      <c r="D59" s="208" t="s">
        <v>183</v>
      </c>
      <c r="E59" s="208" t="b">
        <v>1</v>
      </c>
      <c r="F59" s="208" t="s">
        <v>175</v>
      </c>
      <c r="G59" s="208" t="s">
        <v>174</v>
      </c>
      <c r="H59" s="43" t="str">
        <f t="shared" si="4"/>
        <v>Pig|TRUE|900to1200|DrainedArGr</v>
      </c>
      <c r="I59" s="143">
        <v>1.57</v>
      </c>
      <c r="J59" s="143">
        <v>51.07</v>
      </c>
      <c r="K59" s="34" t="str">
        <f t="shared" si="5"/>
        <v>Pig|900to1200</v>
      </c>
      <c r="L59" s="143">
        <f t="shared" si="6"/>
        <v>1.57</v>
      </c>
      <c r="M59" s="35">
        <f t="shared" si="7"/>
        <v>51.07</v>
      </c>
      <c r="N59" s="28"/>
      <c r="O59" s="28"/>
      <c r="P59" s="124"/>
    </row>
    <row r="60" spans="2:16" x14ac:dyDescent="0.25">
      <c r="B60" s="146"/>
      <c r="C60" s="208" t="s">
        <v>182</v>
      </c>
      <c r="D60" s="208" t="s">
        <v>178</v>
      </c>
      <c r="E60" s="208" t="b">
        <v>1</v>
      </c>
      <c r="F60" s="208" t="s">
        <v>171</v>
      </c>
      <c r="G60" s="208" t="s">
        <v>172</v>
      </c>
      <c r="H60" s="43" t="str">
        <f t="shared" si="4"/>
        <v>Poultry|TRUE|700to900|FreeDrain</v>
      </c>
      <c r="I60" s="143">
        <v>0.19</v>
      </c>
      <c r="J60" s="143">
        <v>181.05</v>
      </c>
      <c r="K60" s="34" t="str">
        <f t="shared" si="5"/>
        <v>Poultry|700to900</v>
      </c>
      <c r="L60" s="143">
        <f t="shared" si="6"/>
        <v>0.19</v>
      </c>
      <c r="M60" s="35">
        <f t="shared" si="7"/>
        <v>181.05</v>
      </c>
      <c r="N60" s="28"/>
      <c r="O60" s="28"/>
      <c r="P60" s="124"/>
    </row>
    <row r="61" spans="2:16" x14ac:dyDescent="0.25">
      <c r="B61" s="146"/>
      <c r="C61" s="208" t="s">
        <v>182</v>
      </c>
      <c r="D61" s="208" t="s">
        <v>178</v>
      </c>
      <c r="E61" s="208" t="b">
        <v>1</v>
      </c>
      <c r="F61" s="208" t="s">
        <v>171</v>
      </c>
      <c r="G61" s="208" t="s">
        <v>174</v>
      </c>
      <c r="H61" s="43" t="str">
        <f t="shared" si="4"/>
        <v>Poultry|TRUE|700to900|DrainedArGr</v>
      </c>
      <c r="I61" s="143">
        <v>0.94</v>
      </c>
      <c r="J61" s="143">
        <v>92.3</v>
      </c>
      <c r="K61" s="34" t="str">
        <f t="shared" si="5"/>
        <v>Poultry|700to900</v>
      </c>
      <c r="L61" s="143">
        <f t="shared" si="6"/>
        <v>0.94</v>
      </c>
      <c r="M61" s="35">
        <f t="shared" si="7"/>
        <v>92.3</v>
      </c>
      <c r="N61" s="28"/>
      <c r="O61" s="28"/>
      <c r="P61" s="124"/>
    </row>
    <row r="62" spans="2:16" x14ac:dyDescent="0.25">
      <c r="B62" s="146"/>
      <c r="C62" s="208" t="s">
        <v>182</v>
      </c>
      <c r="D62" s="208" t="s">
        <v>178</v>
      </c>
      <c r="E62" s="208" t="b">
        <v>1</v>
      </c>
      <c r="F62" s="208" t="s">
        <v>175</v>
      </c>
      <c r="G62" s="208" t="s">
        <v>173</v>
      </c>
      <c r="H62" s="43" t="str">
        <f t="shared" si="4"/>
        <v>Poultry|TRUE|900to1200|DrainedAr</v>
      </c>
      <c r="I62" s="143">
        <v>0.83</v>
      </c>
      <c r="J62" s="143">
        <v>141.51</v>
      </c>
      <c r="K62" s="34" t="str">
        <f t="shared" si="5"/>
        <v>Poultry|900to1200</v>
      </c>
      <c r="L62" s="143">
        <f t="shared" si="6"/>
        <v>0.83</v>
      </c>
      <c r="M62" s="35">
        <f t="shared" si="7"/>
        <v>141.51</v>
      </c>
      <c r="N62" s="28"/>
      <c r="O62" s="28"/>
      <c r="P62" s="124"/>
    </row>
    <row r="63" spans="2:16" x14ac:dyDescent="0.25">
      <c r="B63" s="146"/>
      <c r="C63" s="208" t="s">
        <v>182</v>
      </c>
      <c r="D63" s="208" t="s">
        <v>178</v>
      </c>
      <c r="E63" s="208" t="b">
        <v>1</v>
      </c>
      <c r="F63" s="208" t="s">
        <v>175</v>
      </c>
      <c r="G63" s="208" t="s">
        <v>174</v>
      </c>
      <c r="H63" s="43" t="str">
        <f t="shared" si="4"/>
        <v>Poultry|TRUE|900to1200|DrainedArGr</v>
      </c>
      <c r="I63" s="143">
        <v>1.5</v>
      </c>
      <c r="J63" s="143">
        <v>99.64</v>
      </c>
      <c r="K63" s="34" t="str">
        <f t="shared" si="5"/>
        <v>Poultry|900to1200</v>
      </c>
      <c r="L63" s="143">
        <f t="shared" si="6"/>
        <v>1.5</v>
      </c>
      <c r="M63" s="35">
        <f t="shared" si="7"/>
        <v>99.64</v>
      </c>
      <c r="N63" s="28"/>
      <c r="O63" s="28"/>
      <c r="P63" s="124"/>
    </row>
    <row r="64" spans="2:16" x14ac:dyDescent="0.25">
      <c r="B64" s="146"/>
      <c r="C64" s="208" t="s">
        <v>182</v>
      </c>
      <c r="D64" s="208" t="s">
        <v>179</v>
      </c>
      <c r="E64" s="208" t="b">
        <v>1</v>
      </c>
      <c r="F64" s="208" t="s">
        <v>171</v>
      </c>
      <c r="G64" s="208" t="s">
        <v>172</v>
      </c>
      <c r="H64" s="43" t="str">
        <f t="shared" si="4"/>
        <v>Dairy|TRUE|700to900|FreeDrain</v>
      </c>
      <c r="I64" s="143">
        <v>0.15</v>
      </c>
      <c r="J64" s="143">
        <v>35.340000000000003</v>
      </c>
      <c r="K64" s="34" t="str">
        <f t="shared" si="5"/>
        <v>Dairy|700to900</v>
      </c>
      <c r="L64" s="143">
        <f t="shared" si="6"/>
        <v>0.15</v>
      </c>
      <c r="M64" s="35">
        <f t="shared" si="7"/>
        <v>35.340000000000003</v>
      </c>
      <c r="N64" s="28"/>
      <c r="O64" s="28"/>
      <c r="P64" s="124"/>
    </row>
    <row r="65" spans="2:16" x14ac:dyDescent="0.25">
      <c r="B65" s="146"/>
      <c r="C65" s="208" t="s">
        <v>182</v>
      </c>
      <c r="D65" s="208" t="s">
        <v>179</v>
      </c>
      <c r="E65" s="208" t="b">
        <v>1</v>
      </c>
      <c r="F65" s="208" t="s">
        <v>171</v>
      </c>
      <c r="G65" s="208" t="s">
        <v>174</v>
      </c>
      <c r="H65" s="43" t="str">
        <f t="shared" si="4"/>
        <v>Dairy|TRUE|700to900|DrainedArGr</v>
      </c>
      <c r="I65" s="143">
        <v>1.01</v>
      </c>
      <c r="J65" s="143">
        <v>16.37</v>
      </c>
      <c r="K65" s="34" t="str">
        <f t="shared" si="5"/>
        <v>Dairy|700to900</v>
      </c>
      <c r="L65" s="143">
        <f t="shared" si="6"/>
        <v>1.01</v>
      </c>
      <c r="M65" s="35">
        <f t="shared" si="7"/>
        <v>16.37</v>
      </c>
      <c r="N65" s="28"/>
      <c r="O65" s="28"/>
      <c r="P65" s="124"/>
    </row>
    <row r="66" spans="2:16" x14ac:dyDescent="0.25">
      <c r="B66" s="146"/>
      <c r="C66" s="208" t="s">
        <v>182</v>
      </c>
      <c r="D66" s="208" t="s">
        <v>180</v>
      </c>
      <c r="E66" s="208" t="b">
        <v>1</v>
      </c>
      <c r="F66" s="208" t="s">
        <v>171</v>
      </c>
      <c r="G66" s="208" t="s">
        <v>172</v>
      </c>
      <c r="H66" s="43" t="str">
        <f t="shared" si="4"/>
        <v>Lowland|TRUE|700to900|FreeDrain</v>
      </c>
      <c r="I66" s="143">
        <v>0.09</v>
      </c>
      <c r="J66" s="143">
        <v>13.36</v>
      </c>
      <c r="K66" s="34" t="str">
        <f t="shared" si="5"/>
        <v>Lowland|700to900</v>
      </c>
      <c r="L66" s="143">
        <f t="shared" si="6"/>
        <v>0.09</v>
      </c>
      <c r="M66" s="35">
        <f t="shared" si="7"/>
        <v>13.36</v>
      </c>
      <c r="N66" s="28"/>
      <c r="O66" s="28"/>
      <c r="P66" s="124"/>
    </row>
    <row r="67" spans="2:16" x14ac:dyDescent="0.25">
      <c r="B67" s="146"/>
      <c r="C67" s="208" t="s">
        <v>182</v>
      </c>
      <c r="D67" s="208" t="s">
        <v>180</v>
      </c>
      <c r="E67" s="208" t="b">
        <v>0</v>
      </c>
      <c r="F67" s="208" t="s">
        <v>171</v>
      </c>
      <c r="G67" s="208" t="s">
        <v>173</v>
      </c>
      <c r="H67" s="43" t="str">
        <f t="shared" si="4"/>
        <v>Lowland|FALSE|700to900|DrainedAr</v>
      </c>
      <c r="I67" s="143">
        <v>0.19</v>
      </c>
      <c r="J67" s="143">
        <v>10.51</v>
      </c>
      <c r="K67" s="34" t="str">
        <f t="shared" si="5"/>
        <v>Lowland|700to900</v>
      </c>
      <c r="L67" s="143">
        <f t="shared" si="6"/>
        <v>0.19</v>
      </c>
      <c r="M67" s="35">
        <f t="shared" si="7"/>
        <v>10.51</v>
      </c>
      <c r="N67" s="28"/>
      <c r="O67" s="28"/>
      <c r="P67" s="124"/>
    </row>
    <row r="68" spans="2:16" x14ac:dyDescent="0.25">
      <c r="B68" s="146"/>
      <c r="C68" s="208" t="s">
        <v>182</v>
      </c>
      <c r="D68" s="208" t="s">
        <v>180</v>
      </c>
      <c r="E68" s="208" t="b">
        <v>1</v>
      </c>
      <c r="F68" s="208" t="s">
        <v>171</v>
      </c>
      <c r="G68" s="208" t="s">
        <v>173</v>
      </c>
      <c r="H68" s="43" t="str">
        <f t="shared" si="4"/>
        <v>Lowland|TRUE|700to900|DrainedAr</v>
      </c>
      <c r="I68" s="143">
        <v>0.19</v>
      </c>
      <c r="J68" s="143">
        <v>10.44</v>
      </c>
      <c r="K68" s="34" t="str">
        <f t="shared" si="5"/>
        <v>Lowland|700to900</v>
      </c>
      <c r="L68" s="143">
        <f t="shared" si="6"/>
        <v>0.19</v>
      </c>
      <c r="M68" s="35">
        <f t="shared" si="7"/>
        <v>10.44</v>
      </c>
      <c r="N68" s="28"/>
      <c r="O68" s="28"/>
      <c r="P68" s="124"/>
    </row>
    <row r="69" spans="2:16" x14ac:dyDescent="0.25">
      <c r="B69" s="146"/>
      <c r="C69" s="208" t="s">
        <v>182</v>
      </c>
      <c r="D69" s="208" t="s">
        <v>180</v>
      </c>
      <c r="E69" s="208" t="b">
        <v>0</v>
      </c>
      <c r="F69" s="208" t="s">
        <v>171</v>
      </c>
      <c r="G69" s="208" t="s">
        <v>174</v>
      </c>
      <c r="H69" s="43" t="str">
        <f t="shared" si="4"/>
        <v>Lowland|FALSE|700to900|DrainedArGr</v>
      </c>
      <c r="I69" s="143">
        <v>0.62</v>
      </c>
      <c r="J69" s="143">
        <v>7.3</v>
      </c>
      <c r="K69" s="34" t="str">
        <f t="shared" si="5"/>
        <v>Lowland|700to900</v>
      </c>
      <c r="L69" s="143">
        <f t="shared" si="6"/>
        <v>0.62</v>
      </c>
      <c r="M69" s="35">
        <f t="shared" si="7"/>
        <v>7.3</v>
      </c>
      <c r="N69" s="28"/>
      <c r="O69" s="28"/>
      <c r="P69" s="124"/>
    </row>
    <row r="70" spans="2:16" x14ac:dyDescent="0.25">
      <c r="B70" s="146"/>
      <c r="C70" s="208" t="s">
        <v>182</v>
      </c>
      <c r="D70" s="208" t="s">
        <v>180</v>
      </c>
      <c r="E70" s="208" t="b">
        <v>1</v>
      </c>
      <c r="F70" s="208" t="s">
        <v>171</v>
      </c>
      <c r="G70" s="208" t="s">
        <v>174</v>
      </c>
      <c r="H70" s="43" t="str">
        <f t="shared" si="4"/>
        <v>Lowland|TRUE|700to900|DrainedArGr</v>
      </c>
      <c r="I70" s="143">
        <v>0.62</v>
      </c>
      <c r="J70" s="143">
        <v>7.28</v>
      </c>
      <c r="K70" s="34" t="str">
        <f t="shared" si="5"/>
        <v>Lowland|700to900</v>
      </c>
      <c r="L70" s="143">
        <f t="shared" si="6"/>
        <v>0.62</v>
      </c>
      <c r="M70" s="35">
        <f t="shared" si="7"/>
        <v>7.28</v>
      </c>
      <c r="N70" s="28"/>
      <c r="O70" s="28"/>
      <c r="P70" s="124"/>
    </row>
    <row r="71" spans="2:16" x14ac:dyDescent="0.25">
      <c r="B71" s="146"/>
      <c r="C71" s="208" t="s">
        <v>182</v>
      </c>
      <c r="D71" s="208" t="s">
        <v>180</v>
      </c>
      <c r="E71" s="208" t="b">
        <v>1</v>
      </c>
      <c r="F71" s="208" t="s">
        <v>175</v>
      </c>
      <c r="G71" s="208" t="s">
        <v>173</v>
      </c>
      <c r="H71" s="43" t="str">
        <f t="shared" si="4"/>
        <v>Lowland|TRUE|900to1200|DrainedAr</v>
      </c>
      <c r="I71" s="143">
        <v>0.34</v>
      </c>
      <c r="J71" s="143">
        <v>13.18</v>
      </c>
      <c r="K71" s="34" t="str">
        <f t="shared" si="5"/>
        <v>Lowland|900to1200</v>
      </c>
      <c r="L71" s="143">
        <f t="shared" si="6"/>
        <v>0.34</v>
      </c>
      <c r="M71" s="35">
        <f t="shared" si="7"/>
        <v>13.18</v>
      </c>
      <c r="N71" s="28"/>
      <c r="O71" s="28"/>
      <c r="P71" s="124"/>
    </row>
    <row r="72" spans="2:16" x14ac:dyDescent="0.25">
      <c r="B72" s="146"/>
      <c r="C72" s="208" t="s">
        <v>182</v>
      </c>
      <c r="D72" s="208" t="s">
        <v>180</v>
      </c>
      <c r="E72" s="208" t="b">
        <v>1</v>
      </c>
      <c r="F72" s="208" t="s">
        <v>175</v>
      </c>
      <c r="G72" s="208" t="s">
        <v>174</v>
      </c>
      <c r="H72" s="43" t="str">
        <f t="shared" si="4"/>
        <v>Lowland|TRUE|900to1200|DrainedArGr</v>
      </c>
      <c r="I72" s="143">
        <v>1.04</v>
      </c>
      <c r="J72" s="143">
        <v>9.6</v>
      </c>
      <c r="K72" s="34" t="str">
        <f t="shared" si="5"/>
        <v>Lowland|900to1200</v>
      </c>
      <c r="L72" s="143">
        <f t="shared" si="6"/>
        <v>1.04</v>
      </c>
      <c r="M72" s="35">
        <f t="shared" si="7"/>
        <v>9.6</v>
      </c>
      <c r="N72" s="28"/>
      <c r="O72" s="28"/>
      <c r="P72" s="124"/>
    </row>
    <row r="73" spans="2:16" x14ac:dyDescent="0.25">
      <c r="B73" s="146"/>
      <c r="C73" s="208" t="s">
        <v>182</v>
      </c>
      <c r="D73" s="208" t="s">
        <v>181</v>
      </c>
      <c r="E73" s="208" t="b">
        <v>1</v>
      </c>
      <c r="F73" s="208" t="s">
        <v>171</v>
      </c>
      <c r="G73" s="208" t="s">
        <v>172</v>
      </c>
      <c r="H73" s="43" t="str">
        <f t="shared" si="4"/>
        <v>Mixed|TRUE|700to900|FreeDrain</v>
      </c>
      <c r="I73" s="143">
        <v>0.12</v>
      </c>
      <c r="J73" s="143">
        <v>25.46</v>
      </c>
      <c r="K73" s="34" t="str">
        <f t="shared" si="5"/>
        <v>Mixed|700to900</v>
      </c>
      <c r="L73" s="143">
        <f t="shared" si="6"/>
        <v>0.12</v>
      </c>
      <c r="M73" s="35">
        <f t="shared" si="7"/>
        <v>25.46</v>
      </c>
      <c r="N73" s="28"/>
      <c r="O73" s="28"/>
      <c r="P73" s="124"/>
    </row>
    <row r="74" spans="2:16" x14ac:dyDescent="0.25">
      <c r="B74" s="146"/>
      <c r="C74" s="208" t="s">
        <v>182</v>
      </c>
      <c r="D74" s="208" t="s">
        <v>181</v>
      </c>
      <c r="E74" s="208" t="b">
        <v>1</v>
      </c>
      <c r="F74" s="208" t="s">
        <v>171</v>
      </c>
      <c r="G74" s="208" t="s">
        <v>174</v>
      </c>
      <c r="H74" s="43" t="str">
        <f t="shared" si="4"/>
        <v>Mixed|TRUE|700to900|DrainedArGr</v>
      </c>
      <c r="I74" s="143">
        <v>0.83</v>
      </c>
      <c r="J74" s="143">
        <v>15.87</v>
      </c>
      <c r="K74" s="34" t="str">
        <f t="shared" si="5"/>
        <v>Mixed|700to900</v>
      </c>
      <c r="L74" s="143">
        <f t="shared" si="6"/>
        <v>0.83</v>
      </c>
      <c r="M74" s="35">
        <f t="shared" si="7"/>
        <v>15.87</v>
      </c>
      <c r="N74" s="28"/>
      <c r="O74" s="28"/>
      <c r="P74" s="124"/>
    </row>
    <row r="75" spans="2:16" x14ac:dyDescent="0.25">
      <c r="B75" s="146"/>
      <c r="C75" s="208" t="s">
        <v>182</v>
      </c>
      <c r="D75" s="208" t="s">
        <v>181</v>
      </c>
      <c r="E75" s="208" t="b">
        <v>1</v>
      </c>
      <c r="F75" s="208" t="s">
        <v>175</v>
      </c>
      <c r="G75" s="208" t="s">
        <v>173</v>
      </c>
      <c r="H75" s="43" t="str">
        <f t="shared" si="4"/>
        <v>Mixed|TRUE|900to1200|DrainedAr</v>
      </c>
      <c r="I75" s="143">
        <v>0.84</v>
      </c>
      <c r="J75" s="143">
        <v>24.25</v>
      </c>
      <c r="K75" s="34" t="str">
        <f t="shared" si="5"/>
        <v>Mixed|900to1200</v>
      </c>
      <c r="L75" s="143">
        <f t="shared" si="6"/>
        <v>0.84</v>
      </c>
      <c r="M75" s="35">
        <f t="shared" si="7"/>
        <v>24.25</v>
      </c>
      <c r="N75" s="28"/>
      <c r="O75" s="28"/>
      <c r="P75" s="124"/>
    </row>
    <row r="76" spans="2:16" x14ac:dyDescent="0.25">
      <c r="B76" s="146"/>
      <c r="C76" s="208" t="s">
        <v>182</v>
      </c>
      <c r="D76" s="208" t="s">
        <v>181</v>
      </c>
      <c r="E76" s="208" t="b">
        <v>1</v>
      </c>
      <c r="F76" s="208" t="s">
        <v>175</v>
      </c>
      <c r="G76" s="208" t="s">
        <v>174</v>
      </c>
      <c r="H76" s="43" t="str">
        <f t="shared" si="4"/>
        <v>Mixed|TRUE|900to1200|DrainedArGr</v>
      </c>
      <c r="I76" s="143">
        <v>1.36</v>
      </c>
      <c r="J76" s="143">
        <v>18.760000000000002</v>
      </c>
      <c r="K76" s="34" t="str">
        <f t="shared" si="5"/>
        <v>Mixed|900to1200</v>
      </c>
      <c r="L76" s="143">
        <f t="shared" si="6"/>
        <v>1.36</v>
      </c>
      <c r="M76" s="35">
        <f t="shared" si="7"/>
        <v>18.760000000000002</v>
      </c>
      <c r="N76" s="28"/>
      <c r="O76" s="28"/>
      <c r="P76" s="124"/>
    </row>
    <row r="77" spans="2:16" x14ac:dyDescent="0.25">
      <c r="B77" s="146"/>
      <c r="C77" s="208" t="s">
        <v>184</v>
      </c>
      <c r="D77" s="208" t="s">
        <v>170</v>
      </c>
      <c r="E77" s="208" t="b">
        <v>1</v>
      </c>
      <c r="F77" s="208" t="s">
        <v>171</v>
      </c>
      <c r="G77" s="208" t="s">
        <v>172</v>
      </c>
      <c r="H77" s="43" t="str">
        <f t="shared" si="4"/>
        <v>Cereals|TRUE|700to900|FreeDrain</v>
      </c>
      <c r="I77" s="143">
        <v>0.09</v>
      </c>
      <c r="J77" s="143">
        <v>27.93</v>
      </c>
      <c r="K77" s="34" t="str">
        <f t="shared" si="5"/>
        <v>Cereals|700to900</v>
      </c>
      <c r="L77" s="143">
        <f t="shared" si="6"/>
        <v>0.09</v>
      </c>
      <c r="M77" s="35">
        <f t="shared" si="7"/>
        <v>27.93</v>
      </c>
      <c r="N77" s="28"/>
      <c r="O77" s="28"/>
      <c r="P77" s="124"/>
    </row>
    <row r="78" spans="2:16" x14ac:dyDescent="0.25">
      <c r="B78" s="146"/>
      <c r="C78" s="208" t="s">
        <v>184</v>
      </c>
      <c r="D78" s="208" t="s">
        <v>170</v>
      </c>
      <c r="E78" s="208" t="b">
        <v>1</v>
      </c>
      <c r="F78" s="208" t="s">
        <v>171</v>
      </c>
      <c r="G78" s="208" t="s">
        <v>173</v>
      </c>
      <c r="H78" s="43" t="str">
        <f t="shared" si="4"/>
        <v>Cereals|TRUE|700to900|DrainedAr</v>
      </c>
      <c r="I78" s="143">
        <v>0.67</v>
      </c>
      <c r="J78" s="143">
        <v>21.48</v>
      </c>
      <c r="K78" s="34" t="str">
        <f t="shared" si="5"/>
        <v>Cereals|700to900</v>
      </c>
      <c r="L78" s="143">
        <f>I78</f>
        <v>0.67</v>
      </c>
      <c r="M78" s="35">
        <f t="shared" si="7"/>
        <v>21.48</v>
      </c>
      <c r="N78" s="28"/>
      <c r="O78" s="28"/>
      <c r="P78" s="124"/>
    </row>
    <row r="79" spans="2:16" x14ac:dyDescent="0.25">
      <c r="B79" s="146"/>
      <c r="C79" s="208" t="s">
        <v>184</v>
      </c>
      <c r="D79" s="208" t="s">
        <v>170</v>
      </c>
      <c r="E79" s="208" t="b">
        <v>1</v>
      </c>
      <c r="F79" s="208" t="s">
        <v>175</v>
      </c>
      <c r="G79" s="208" t="s">
        <v>172</v>
      </c>
      <c r="H79" s="43" t="str">
        <f t="shared" si="4"/>
        <v>Cereals|TRUE|900to1200|FreeDrain</v>
      </c>
      <c r="I79" s="143">
        <v>0.15</v>
      </c>
      <c r="J79" s="143">
        <v>29.73</v>
      </c>
      <c r="K79" s="34" t="str">
        <f t="shared" si="5"/>
        <v>Cereals|900to1200</v>
      </c>
      <c r="L79" s="143">
        <f t="shared" si="6"/>
        <v>0.15</v>
      </c>
      <c r="M79" s="35">
        <f t="shared" si="7"/>
        <v>29.73</v>
      </c>
      <c r="N79" s="28"/>
      <c r="O79" s="28"/>
      <c r="P79" s="124"/>
    </row>
    <row r="80" spans="2:16" x14ac:dyDescent="0.25">
      <c r="B80" s="146"/>
      <c r="C80" s="208" t="s">
        <v>184</v>
      </c>
      <c r="D80" s="208" t="s">
        <v>176</v>
      </c>
      <c r="E80" s="208" t="b">
        <v>1</v>
      </c>
      <c r="F80" s="208" t="s">
        <v>171</v>
      </c>
      <c r="G80" s="208" t="s">
        <v>172</v>
      </c>
      <c r="H80" s="43" t="str">
        <f t="shared" si="4"/>
        <v>General|TRUE|700to900|FreeDrain</v>
      </c>
      <c r="I80" s="143">
        <v>7.0000000000000007E-2</v>
      </c>
      <c r="J80" s="143">
        <v>19.64</v>
      </c>
      <c r="K80" s="34" t="str">
        <f t="shared" si="5"/>
        <v>General|700to900</v>
      </c>
      <c r="L80" s="143">
        <f t="shared" si="6"/>
        <v>7.0000000000000007E-2</v>
      </c>
      <c r="M80" s="35">
        <f t="shared" si="7"/>
        <v>19.64</v>
      </c>
      <c r="N80" s="28"/>
      <c r="O80" s="28"/>
      <c r="P80" s="124"/>
    </row>
    <row r="81" spans="2:16" x14ac:dyDescent="0.25">
      <c r="B81" s="146"/>
      <c r="C81" s="208" t="s">
        <v>184</v>
      </c>
      <c r="D81" s="208" t="s">
        <v>176</v>
      </c>
      <c r="E81" s="208" t="b">
        <v>1</v>
      </c>
      <c r="F81" s="208" t="s">
        <v>171</v>
      </c>
      <c r="G81" s="208" t="s">
        <v>173</v>
      </c>
      <c r="H81" s="43" t="str">
        <f t="shared" si="4"/>
        <v>General|TRUE|700to900|DrainedAr</v>
      </c>
      <c r="I81" s="143">
        <v>0.45</v>
      </c>
      <c r="J81" s="143">
        <v>14.79</v>
      </c>
      <c r="K81" s="34" t="str">
        <f t="shared" si="5"/>
        <v>General|700to900</v>
      </c>
      <c r="L81" s="143">
        <f t="shared" si="6"/>
        <v>0.45</v>
      </c>
      <c r="M81" s="35">
        <f t="shared" si="7"/>
        <v>14.79</v>
      </c>
      <c r="N81" s="28"/>
      <c r="O81" s="28"/>
      <c r="P81" s="124"/>
    </row>
    <row r="82" spans="2:16" x14ac:dyDescent="0.25">
      <c r="B82" s="146"/>
      <c r="C82" s="208" t="s">
        <v>184</v>
      </c>
      <c r="D82" s="208" t="s">
        <v>176</v>
      </c>
      <c r="E82" s="208" t="b">
        <v>1</v>
      </c>
      <c r="F82" s="208" t="s">
        <v>175</v>
      </c>
      <c r="G82" s="208" t="s">
        <v>172</v>
      </c>
      <c r="H82" s="43" t="str">
        <f t="shared" si="4"/>
        <v>General|TRUE|900to1200|FreeDrain</v>
      </c>
      <c r="I82" s="143">
        <v>0.12</v>
      </c>
      <c r="J82" s="143">
        <v>21.1</v>
      </c>
      <c r="K82" s="34" t="str">
        <f t="shared" si="5"/>
        <v>General|900to1200</v>
      </c>
      <c r="L82" s="143">
        <f t="shared" si="6"/>
        <v>0.12</v>
      </c>
      <c r="M82" s="35">
        <f t="shared" si="7"/>
        <v>21.1</v>
      </c>
      <c r="N82" s="28"/>
      <c r="O82" s="28"/>
      <c r="P82" s="124"/>
    </row>
    <row r="83" spans="2:16" x14ac:dyDescent="0.25">
      <c r="B83" s="146"/>
      <c r="C83" s="208" t="s">
        <v>184</v>
      </c>
      <c r="D83" s="208" t="s">
        <v>185</v>
      </c>
      <c r="E83" s="208" t="b">
        <v>1</v>
      </c>
      <c r="F83" s="208" t="s">
        <v>171</v>
      </c>
      <c r="G83" s="208" t="s">
        <v>172</v>
      </c>
      <c r="H83" s="43" t="str">
        <f t="shared" si="4"/>
        <v>Hortic|TRUE|700to900|FreeDrain</v>
      </c>
      <c r="I83" s="143">
        <v>7.0000000000000007E-2</v>
      </c>
      <c r="J83" s="143">
        <v>21.02</v>
      </c>
      <c r="K83" s="34" t="str">
        <f t="shared" si="5"/>
        <v>Hortic|700to900</v>
      </c>
      <c r="L83" s="143">
        <f t="shared" si="6"/>
        <v>7.0000000000000007E-2</v>
      </c>
      <c r="M83" s="35">
        <f t="shared" si="7"/>
        <v>21.02</v>
      </c>
      <c r="N83" s="28"/>
      <c r="O83" s="28"/>
      <c r="P83" s="124"/>
    </row>
    <row r="84" spans="2:16" x14ac:dyDescent="0.25">
      <c r="B84" s="146"/>
      <c r="C84" s="208" t="s">
        <v>184</v>
      </c>
      <c r="D84" s="208" t="s">
        <v>185</v>
      </c>
      <c r="E84" s="208" t="b">
        <v>1</v>
      </c>
      <c r="F84" s="208" t="s">
        <v>175</v>
      </c>
      <c r="G84" s="208" t="s">
        <v>172</v>
      </c>
      <c r="H84" s="43" t="str">
        <f t="shared" si="4"/>
        <v>Hortic|TRUE|900to1200|FreeDrain</v>
      </c>
      <c r="I84" s="143">
        <v>0.13</v>
      </c>
      <c r="J84" s="143">
        <v>22.64</v>
      </c>
      <c r="K84" s="34" t="str">
        <f t="shared" si="5"/>
        <v>Hortic|900to1200</v>
      </c>
      <c r="L84" s="143">
        <f t="shared" si="6"/>
        <v>0.13</v>
      </c>
      <c r="M84" s="35">
        <f t="shared" si="7"/>
        <v>22.64</v>
      </c>
      <c r="N84" s="28"/>
      <c r="O84" s="28"/>
      <c r="P84" s="124"/>
    </row>
    <row r="85" spans="2:16" x14ac:dyDescent="0.25">
      <c r="B85" s="146"/>
      <c r="C85" s="208" t="s">
        <v>184</v>
      </c>
      <c r="D85" s="208" t="s">
        <v>183</v>
      </c>
      <c r="E85" s="208" t="b">
        <v>1</v>
      </c>
      <c r="F85" s="208" t="s">
        <v>171</v>
      </c>
      <c r="G85" s="208" t="s">
        <v>172</v>
      </c>
      <c r="H85" s="43" t="str">
        <f t="shared" si="4"/>
        <v>Pig|TRUE|700to900|FreeDrain</v>
      </c>
      <c r="I85" s="143">
        <v>0.08</v>
      </c>
      <c r="J85" s="143">
        <v>63.94</v>
      </c>
      <c r="K85" s="34" t="str">
        <f t="shared" si="5"/>
        <v>Pig|700to900</v>
      </c>
      <c r="L85" s="143">
        <f t="shared" si="6"/>
        <v>0.08</v>
      </c>
      <c r="M85" s="35">
        <f t="shared" si="7"/>
        <v>63.94</v>
      </c>
      <c r="N85" s="28"/>
      <c r="O85" s="28"/>
      <c r="P85" s="124"/>
    </row>
    <row r="86" spans="2:16" x14ac:dyDescent="0.25">
      <c r="B86" s="146"/>
      <c r="C86" s="208" t="s">
        <v>184</v>
      </c>
      <c r="D86" s="208" t="s">
        <v>178</v>
      </c>
      <c r="E86" s="208" t="b">
        <v>1</v>
      </c>
      <c r="F86" s="208" t="s">
        <v>171</v>
      </c>
      <c r="G86" s="208" t="s">
        <v>172</v>
      </c>
      <c r="H86" s="43" t="str">
        <f t="shared" si="4"/>
        <v>Poultry|TRUE|700to900|FreeDrain</v>
      </c>
      <c r="I86" s="143">
        <v>7.0000000000000007E-2</v>
      </c>
      <c r="J86" s="143">
        <v>68.61</v>
      </c>
      <c r="K86" s="34" t="str">
        <f t="shared" si="5"/>
        <v>Poultry|700to900</v>
      </c>
      <c r="L86" s="143">
        <f t="shared" si="6"/>
        <v>7.0000000000000007E-2</v>
      </c>
      <c r="M86" s="35">
        <f t="shared" si="7"/>
        <v>68.61</v>
      </c>
      <c r="N86" s="28"/>
      <c r="O86" s="28"/>
      <c r="P86" s="124"/>
    </row>
    <row r="87" spans="2:16" x14ac:dyDescent="0.25">
      <c r="B87" s="146"/>
      <c r="C87" s="208" t="s">
        <v>184</v>
      </c>
      <c r="D87" s="208" t="s">
        <v>179</v>
      </c>
      <c r="E87" s="208" t="b">
        <v>1</v>
      </c>
      <c r="F87" s="208" t="s">
        <v>171</v>
      </c>
      <c r="G87" s="208" t="s">
        <v>172</v>
      </c>
      <c r="H87" s="43" t="str">
        <f t="shared" si="4"/>
        <v>Dairy|TRUE|700to900|FreeDrain</v>
      </c>
      <c r="I87" s="143">
        <v>0.08</v>
      </c>
      <c r="J87" s="143">
        <v>41.23</v>
      </c>
      <c r="K87" s="34" t="str">
        <f t="shared" si="5"/>
        <v>Dairy|700to900</v>
      </c>
      <c r="L87" s="143">
        <f t="shared" si="6"/>
        <v>0.08</v>
      </c>
      <c r="M87" s="35">
        <f t="shared" si="7"/>
        <v>41.23</v>
      </c>
      <c r="N87" s="28"/>
      <c r="O87" s="28"/>
      <c r="P87" s="124"/>
    </row>
    <row r="88" spans="2:16" x14ac:dyDescent="0.25">
      <c r="B88" s="146"/>
      <c r="C88" s="208" t="s">
        <v>184</v>
      </c>
      <c r="D88" s="208" t="s">
        <v>180</v>
      </c>
      <c r="E88" s="208" t="b">
        <v>1</v>
      </c>
      <c r="F88" s="208" t="s">
        <v>171</v>
      </c>
      <c r="G88" s="208" t="s">
        <v>172</v>
      </c>
      <c r="H88" s="43" t="str">
        <f t="shared" si="4"/>
        <v>Lowland|TRUE|700to900|FreeDrain</v>
      </c>
      <c r="I88" s="143">
        <v>0.05</v>
      </c>
      <c r="J88" s="143">
        <v>11.74</v>
      </c>
      <c r="K88" s="34" t="str">
        <f t="shared" si="5"/>
        <v>Lowland|700to900</v>
      </c>
      <c r="L88" s="143">
        <f t="shared" si="6"/>
        <v>0.05</v>
      </c>
      <c r="M88" s="35">
        <f t="shared" si="7"/>
        <v>11.74</v>
      </c>
      <c r="N88" s="28"/>
      <c r="O88" s="28"/>
      <c r="P88" s="124"/>
    </row>
    <row r="89" spans="2:16" x14ac:dyDescent="0.25">
      <c r="B89" s="146"/>
      <c r="C89" s="208" t="s">
        <v>184</v>
      </c>
      <c r="D89" s="208" t="s">
        <v>180</v>
      </c>
      <c r="E89" s="208" t="b">
        <v>1</v>
      </c>
      <c r="F89" s="208" t="s">
        <v>171</v>
      </c>
      <c r="G89" s="208" t="s">
        <v>173</v>
      </c>
      <c r="H89" s="43" t="str">
        <f t="shared" si="4"/>
        <v>Lowland|TRUE|700to900|DrainedAr</v>
      </c>
      <c r="I89" s="143">
        <v>0.15</v>
      </c>
      <c r="J89" s="143">
        <v>9.09</v>
      </c>
      <c r="K89" s="34" t="str">
        <f t="shared" si="5"/>
        <v>Lowland|700to900</v>
      </c>
      <c r="L89" s="143">
        <f t="shared" si="6"/>
        <v>0.15</v>
      </c>
      <c r="M89" s="35">
        <f t="shared" si="7"/>
        <v>9.09</v>
      </c>
      <c r="N89" s="28"/>
      <c r="O89" s="28"/>
      <c r="P89" s="124"/>
    </row>
    <row r="90" spans="2:16" x14ac:dyDescent="0.25">
      <c r="B90" s="146"/>
      <c r="C90" s="208" t="s">
        <v>184</v>
      </c>
      <c r="D90" s="208" t="s">
        <v>180</v>
      </c>
      <c r="E90" s="208" t="b">
        <v>1</v>
      </c>
      <c r="F90" s="208" t="s">
        <v>175</v>
      </c>
      <c r="G90" s="208" t="s">
        <v>172</v>
      </c>
      <c r="H90" s="43" t="str">
        <f t="shared" si="4"/>
        <v>Lowland|TRUE|900to1200|FreeDrain</v>
      </c>
      <c r="I90" s="143">
        <v>0.09</v>
      </c>
      <c r="J90" s="143">
        <v>12.65</v>
      </c>
      <c r="K90" s="34" t="str">
        <f t="shared" si="5"/>
        <v>Lowland|900to1200</v>
      </c>
      <c r="L90" s="143">
        <f t="shared" si="6"/>
        <v>0.09</v>
      </c>
      <c r="M90" s="35">
        <f t="shared" si="7"/>
        <v>12.65</v>
      </c>
      <c r="N90" s="28"/>
      <c r="O90" s="28"/>
      <c r="P90" s="124"/>
    </row>
    <row r="91" spans="2:16" x14ac:dyDescent="0.25">
      <c r="B91" s="146"/>
      <c r="C91" s="208" t="s">
        <v>184</v>
      </c>
      <c r="D91" s="208" t="s">
        <v>181</v>
      </c>
      <c r="E91" s="208" t="b">
        <v>1</v>
      </c>
      <c r="F91" s="208" t="s">
        <v>171</v>
      </c>
      <c r="G91" s="208" t="s">
        <v>172</v>
      </c>
      <c r="H91" s="43" t="str">
        <f t="shared" si="4"/>
        <v>Mixed|TRUE|700to900|FreeDrain</v>
      </c>
      <c r="I91" s="143">
        <v>0.08</v>
      </c>
      <c r="J91" s="143">
        <v>24.27</v>
      </c>
      <c r="K91" s="34" t="str">
        <f t="shared" si="5"/>
        <v>Mixed|700to900</v>
      </c>
      <c r="L91" s="143">
        <f t="shared" si="6"/>
        <v>0.08</v>
      </c>
      <c r="M91" s="35">
        <f t="shared" si="7"/>
        <v>24.27</v>
      </c>
      <c r="N91" s="28"/>
      <c r="O91" s="28"/>
      <c r="P91" s="124"/>
    </row>
    <row r="92" spans="2:16" x14ac:dyDescent="0.25">
      <c r="B92" s="146"/>
      <c r="C92" s="208" t="s">
        <v>184</v>
      </c>
      <c r="D92" s="208" t="s">
        <v>181</v>
      </c>
      <c r="E92" s="208" t="b">
        <v>1</v>
      </c>
      <c r="F92" s="208" t="s">
        <v>175</v>
      </c>
      <c r="G92" s="208" t="s">
        <v>172</v>
      </c>
      <c r="H92" s="43" t="str">
        <f t="shared" si="4"/>
        <v>Mixed|TRUE|900to1200|FreeDrain</v>
      </c>
      <c r="I92" s="143">
        <v>0.13</v>
      </c>
      <c r="J92" s="143">
        <v>25.84</v>
      </c>
      <c r="K92" s="34" t="str">
        <f t="shared" si="5"/>
        <v>Mixed|900to1200</v>
      </c>
      <c r="L92" s="143">
        <f t="shared" si="6"/>
        <v>0.13</v>
      </c>
      <c r="M92" s="35">
        <f t="shared" si="7"/>
        <v>25.84</v>
      </c>
      <c r="N92" s="28"/>
      <c r="O92" s="28"/>
      <c r="P92" s="124"/>
    </row>
    <row r="93" spans="2:16" x14ac:dyDescent="0.25">
      <c r="B93" s="146"/>
      <c r="C93" s="208" t="s">
        <v>186</v>
      </c>
      <c r="D93" s="208" t="s">
        <v>186</v>
      </c>
      <c r="E93" s="208" t="s">
        <v>186</v>
      </c>
      <c r="F93" s="208" t="s">
        <v>186</v>
      </c>
      <c r="G93" s="220" t="s">
        <v>187</v>
      </c>
      <c r="H93" s="43" t="str">
        <f>"|"&amp;"|"&amp;"|"&amp;G93</f>
        <v>|||Greenspace</v>
      </c>
      <c r="I93" s="221">
        <v>0.02</v>
      </c>
      <c r="J93" s="35">
        <v>3</v>
      </c>
      <c r="K93" s="27"/>
      <c r="L93" s="206"/>
      <c r="M93" s="206"/>
      <c r="N93" s="206"/>
      <c r="O93" s="206"/>
      <c r="P93" s="124"/>
    </row>
    <row r="94" spans="2:16" x14ac:dyDescent="0.25">
      <c r="B94" s="146"/>
      <c r="C94" s="208" t="s">
        <v>186</v>
      </c>
      <c r="D94" s="208" t="s">
        <v>186</v>
      </c>
      <c r="E94" s="208" t="s">
        <v>186</v>
      </c>
      <c r="F94" s="208" t="s">
        <v>186</v>
      </c>
      <c r="G94" s="220" t="s">
        <v>122</v>
      </c>
      <c r="H94" s="43" t="str">
        <f>"|"&amp;"|"&amp;"|"&amp;G94</f>
        <v>|||Community food growing</v>
      </c>
      <c r="I94" s="209">
        <f>IFERROR(VLOOKUP((VLOOKUP('Stage 2'!$E$9,Lookups!$C$130:$D$130,2,FALSE)&amp;"|"&amp;"General"&amp;"|"&amp;"FALSE"&amp;"|"&amp;VLOOKUP('Stage 2'!$E$11,Lookups!$C$104:$E$126,3,FALSE)&amp;"|"&amp;"FreeDrain"),$H$19:$J$63,2,FALSE), IFERROR(VLOOKUP("General"&amp;"|"&amp;VLOOKUP('Stage 2'!$E$11,Lookups!$C$104:$E$126,3,FALSE),$K$19:$O$57,2,FALSE),VLOOKUP("General",$D$19:$O$57,11,FALSE)))</f>
        <v>0.36</v>
      </c>
      <c r="J94" s="210">
        <f>IFERROR(VLOOKUP((VLOOKUP('Stage 2'!$E$9,Lookups!$C$130:$D$130,2,FALSE)&amp;"|"&amp;"General"&amp;"|"&amp;"FALSE"&amp;"|"&amp;VLOOKUP('Stage 2'!$E$11,Lookups!$C$104:$E$126,3,FALSE)&amp;"|"&amp;"FreeDrain"),$H$19:$J$63,3,FALSE), IFERROR(VLOOKUP("General"&amp;"|"&amp;VLOOKUP('Stage 2'!$E$11,Lookups!$C$104:$E$126,3,FALSE),$K$19:$O$57,3,FALSE),VLOOKUP("General",$D$19:$O$57,12,FALSE)))</f>
        <v>18.954999999999998</v>
      </c>
      <c r="K94" s="206"/>
      <c r="L94" s="206"/>
      <c r="M94" s="206"/>
      <c r="N94" s="206"/>
      <c r="O94" s="206"/>
      <c r="P94" s="124"/>
    </row>
    <row r="95" spans="2:16" x14ac:dyDescent="0.25">
      <c r="B95" s="146"/>
      <c r="C95" s="208" t="s">
        <v>186</v>
      </c>
      <c r="D95" s="208" t="s">
        <v>186</v>
      </c>
      <c r="E95" s="208" t="s">
        <v>186</v>
      </c>
      <c r="F95" s="208" t="s">
        <v>186</v>
      </c>
      <c r="G95" s="220" t="s">
        <v>188</v>
      </c>
      <c r="H95" s="43" t="str">
        <f>"|"&amp;"|"&amp;"|"&amp;G95</f>
        <v>|||Woodland</v>
      </c>
      <c r="I95" s="221">
        <v>0.02</v>
      </c>
      <c r="J95" s="35">
        <v>3</v>
      </c>
      <c r="K95" s="27"/>
      <c r="L95" s="206"/>
      <c r="M95" s="206"/>
      <c r="N95" s="206"/>
      <c r="O95" s="206"/>
      <c r="P95" s="124"/>
    </row>
    <row r="96" spans="2:16" x14ac:dyDescent="0.25">
      <c r="B96" s="146"/>
      <c r="C96" s="208" t="s">
        <v>186</v>
      </c>
      <c r="D96" s="208" t="s">
        <v>186</v>
      </c>
      <c r="E96" s="208" t="s">
        <v>186</v>
      </c>
      <c r="F96" s="208" t="s">
        <v>186</v>
      </c>
      <c r="G96" s="220" t="s">
        <v>189</v>
      </c>
      <c r="H96" s="43" t="str">
        <f>"|"&amp;"|"&amp;"|"&amp;G96</f>
        <v>|||Shrub</v>
      </c>
      <c r="I96" s="221">
        <v>0.02</v>
      </c>
      <c r="J96" s="35">
        <v>3</v>
      </c>
      <c r="K96" s="27"/>
      <c r="L96" s="206"/>
      <c r="M96" s="206"/>
      <c r="N96" s="206"/>
      <c r="O96" s="206"/>
      <c r="P96" s="124"/>
    </row>
    <row r="97" spans="2:16" x14ac:dyDescent="0.25">
      <c r="B97" s="146"/>
      <c r="C97" s="208" t="s">
        <v>186</v>
      </c>
      <c r="D97" s="208" t="s">
        <v>186</v>
      </c>
      <c r="E97" s="208" t="s">
        <v>186</v>
      </c>
      <c r="F97" s="208" t="s">
        <v>186</v>
      </c>
      <c r="G97" s="220" t="s">
        <v>190</v>
      </c>
      <c r="H97" s="43" t="str">
        <f>"|"&amp;"|"&amp;"|"&amp;G97</f>
        <v>|||Water</v>
      </c>
      <c r="I97" s="221">
        <v>0</v>
      </c>
      <c r="J97" s="35">
        <v>0</v>
      </c>
      <c r="K97" s="27"/>
      <c r="L97" s="206"/>
      <c r="M97" s="206"/>
      <c r="N97" s="206"/>
      <c r="O97" s="206"/>
      <c r="P97" s="124"/>
    </row>
    <row r="98" spans="2:16" x14ac:dyDescent="0.25">
      <c r="B98" s="146"/>
      <c r="C98" s="208" t="s">
        <v>186</v>
      </c>
      <c r="D98" s="208" t="s">
        <v>186</v>
      </c>
      <c r="E98" s="208" t="s">
        <v>186</v>
      </c>
      <c r="F98" s="208" t="s">
        <v>186</v>
      </c>
      <c r="G98" s="43" t="s">
        <v>117</v>
      </c>
      <c r="H98" s="43" t="str">
        <f t="shared" ref="H98:H100" si="8">"|"&amp;"|"&amp;"|"&amp;G98</f>
        <v>|||Residential urban land</v>
      </c>
      <c r="I98" s="143" t="e">
        <f>VLOOKUP('Stage 2'!E11,Lookups!C104:H126,6,FALSE)</f>
        <v>#N/A</v>
      </c>
      <c r="J98" s="35" t="e">
        <f>VLOOKUP('Stage 2'!E11,Lookups!C104:K126,9,FALSE)</f>
        <v>#N/A</v>
      </c>
      <c r="K98" s="27"/>
      <c r="L98" s="206"/>
      <c r="M98" s="206"/>
      <c r="N98" s="206"/>
      <c r="O98" s="206"/>
      <c r="P98" s="124"/>
    </row>
    <row r="99" spans="2:16" x14ac:dyDescent="0.25">
      <c r="B99" s="146"/>
      <c r="C99" s="208" t="s">
        <v>186</v>
      </c>
      <c r="D99" s="208" t="s">
        <v>186</v>
      </c>
      <c r="E99" s="208" t="s">
        <v>186</v>
      </c>
      <c r="F99" s="208" t="s">
        <v>186</v>
      </c>
      <c r="G99" s="43" t="s">
        <v>191</v>
      </c>
      <c r="H99" s="43" t="str">
        <f t="shared" si="8"/>
        <v>|||Commercial/industrial urban land</v>
      </c>
      <c r="I99" s="143" t="e">
        <f>VLOOKUP('Stage 2'!E11,Lookups!C104:I126,7,FALSE)</f>
        <v>#N/A</v>
      </c>
      <c r="J99" s="35" t="e">
        <f>VLOOKUP('Stage 2'!E11,Lookups!C104:M126,10,FALSE)</f>
        <v>#N/A</v>
      </c>
      <c r="K99" s="27"/>
      <c r="L99" s="206"/>
      <c r="M99" s="206"/>
      <c r="N99" s="206"/>
      <c r="O99" s="206"/>
      <c r="P99" s="124"/>
    </row>
    <row r="100" spans="2:16" x14ac:dyDescent="0.25">
      <c r="B100" s="146"/>
      <c r="C100" s="208" t="s">
        <v>186</v>
      </c>
      <c r="D100" s="208" t="s">
        <v>186</v>
      </c>
      <c r="E100" s="208" t="s">
        <v>186</v>
      </c>
      <c r="F100" s="208" t="s">
        <v>186</v>
      </c>
      <c r="G100" s="43" t="s">
        <v>192</v>
      </c>
      <c r="H100" s="43" t="str">
        <f t="shared" si="8"/>
        <v>|||Open urban land</v>
      </c>
      <c r="I100" s="143" t="e">
        <f>VLOOKUP('Stage 2'!E11,Lookups!C104:J126,8,FALSE)</f>
        <v>#N/A</v>
      </c>
      <c r="J100" s="35" t="e">
        <f>VLOOKUP('Stage 2'!E11,Lookups!C104:P126,11,FALSE)</f>
        <v>#N/A</v>
      </c>
      <c r="K100" s="27"/>
      <c r="L100" s="206"/>
      <c r="M100" s="206"/>
      <c r="N100" s="206"/>
      <c r="O100" s="206"/>
      <c r="P100" s="124"/>
    </row>
    <row r="101" spans="2:16" x14ac:dyDescent="0.25">
      <c r="B101" s="146"/>
      <c r="C101" s="27"/>
      <c r="D101" s="27"/>
      <c r="E101" s="27"/>
      <c r="F101" s="27"/>
      <c r="G101" s="27"/>
      <c r="H101" s="27"/>
      <c r="I101" s="28"/>
      <c r="J101" s="28"/>
      <c r="K101" s="27"/>
      <c r="L101" s="206"/>
      <c r="M101" s="206"/>
      <c r="N101" s="206"/>
      <c r="O101" s="206"/>
      <c r="P101" s="124"/>
    </row>
    <row r="102" spans="2:16" x14ac:dyDescent="0.25">
      <c r="B102" s="146"/>
      <c r="C102" s="27" t="s">
        <v>193</v>
      </c>
      <c r="D102" s="27"/>
      <c r="E102" s="27"/>
      <c r="F102" s="27"/>
      <c r="G102" s="27"/>
      <c r="H102" s="27"/>
      <c r="I102" s="28"/>
      <c r="J102" s="28"/>
      <c r="K102" s="27"/>
      <c r="L102" s="206"/>
      <c r="M102" s="206"/>
      <c r="N102" s="206"/>
      <c r="O102" s="206"/>
      <c r="P102" s="124"/>
    </row>
    <row r="103" spans="2:16" ht="30.75" thickBot="1" x14ac:dyDescent="0.3">
      <c r="B103" s="146"/>
      <c r="C103" s="33" t="s">
        <v>194</v>
      </c>
      <c r="D103" s="46" t="s">
        <v>195</v>
      </c>
      <c r="E103" s="46" t="s">
        <v>196</v>
      </c>
      <c r="F103" s="46" t="s">
        <v>197</v>
      </c>
      <c r="G103" s="46" t="s">
        <v>198</v>
      </c>
      <c r="H103" s="46" t="s">
        <v>199</v>
      </c>
      <c r="I103" s="46" t="s">
        <v>200</v>
      </c>
      <c r="J103" s="46" t="s">
        <v>201</v>
      </c>
      <c r="K103" s="46" t="s">
        <v>202</v>
      </c>
      <c r="L103" s="33" t="s">
        <v>203</v>
      </c>
      <c r="M103" s="145" t="s">
        <v>204</v>
      </c>
      <c r="N103" s="15"/>
      <c r="O103" s="15"/>
      <c r="P103" s="124"/>
    </row>
    <row r="104" spans="2:16" ht="15.75" thickTop="1" x14ac:dyDescent="0.25">
      <c r="B104" s="146"/>
      <c r="C104" s="47" t="s">
        <v>205</v>
      </c>
      <c r="D104" s="209">
        <v>516.5</v>
      </c>
      <c r="E104" s="50" t="s">
        <v>206</v>
      </c>
      <c r="F104" s="209">
        <v>47.366326420209788</v>
      </c>
      <c r="G104" s="209">
        <v>63.946326420209786</v>
      </c>
      <c r="H104" s="209">
        <v>1.0030530114375726</v>
      </c>
      <c r="I104" s="209">
        <v>0.73394122788115068</v>
      </c>
      <c r="J104" s="209">
        <v>0.5382235671128438</v>
      </c>
      <c r="K104" s="209">
        <v>9.4130591148709328</v>
      </c>
      <c r="L104" s="211">
        <v>5.0202981945978298</v>
      </c>
      <c r="M104" s="210">
        <v>5.5487506361344439</v>
      </c>
      <c r="N104" s="212"/>
      <c r="O104" s="212"/>
      <c r="P104" s="124"/>
    </row>
    <row r="105" spans="2:16" x14ac:dyDescent="0.25">
      <c r="B105" s="146"/>
      <c r="C105" s="47" t="s">
        <v>207</v>
      </c>
      <c r="D105" s="209">
        <v>537.54999999999995</v>
      </c>
      <c r="E105" s="50" t="s">
        <v>206</v>
      </c>
      <c r="F105" s="209">
        <v>47.605509573313697</v>
      </c>
      <c r="G105" s="209">
        <v>64.185509573313695</v>
      </c>
      <c r="H105" s="209">
        <v>1.049204008516526</v>
      </c>
      <c r="I105" s="209">
        <v>0.76771025013404326</v>
      </c>
      <c r="J105" s="209">
        <v>0.56298751676496517</v>
      </c>
      <c r="K105" s="209">
        <v>9.8333323912734105</v>
      </c>
      <c r="L105" s="211">
        <v>5.2444439420124853</v>
      </c>
      <c r="M105" s="210">
        <v>5.7964906727506413</v>
      </c>
      <c r="N105" s="212"/>
      <c r="O105" s="212"/>
      <c r="P105" s="124"/>
    </row>
    <row r="106" spans="2:16" x14ac:dyDescent="0.25">
      <c r="B106" s="146"/>
      <c r="C106" s="47" t="s">
        <v>208</v>
      </c>
      <c r="D106" s="209">
        <v>562.54999999999995</v>
      </c>
      <c r="E106" s="50" t="s">
        <v>206</v>
      </c>
      <c r="F106" s="209">
        <v>47.8624816470968</v>
      </c>
      <c r="G106" s="209">
        <v>64.442481647096798</v>
      </c>
      <c r="H106" s="209">
        <v>1.1039266010735462</v>
      </c>
      <c r="I106" s="209">
        <v>0.80775117151722908</v>
      </c>
      <c r="J106" s="209">
        <v>0.59235085911263463</v>
      </c>
      <c r="K106" s="209">
        <v>10.331853644413675</v>
      </c>
      <c r="L106" s="211">
        <v>5.5103219436872939</v>
      </c>
      <c r="M106" s="210">
        <v>6.0903558324964822</v>
      </c>
      <c r="N106" s="212"/>
      <c r="O106" s="212"/>
      <c r="P106" s="124"/>
    </row>
    <row r="107" spans="2:16" x14ac:dyDescent="0.25">
      <c r="B107" s="146"/>
      <c r="C107" s="47" t="s">
        <v>209</v>
      </c>
      <c r="D107" s="209">
        <v>587.54999999999995</v>
      </c>
      <c r="E107" s="50" t="s">
        <v>206</v>
      </c>
      <c r="F107" s="209">
        <v>48.089720428979902</v>
      </c>
      <c r="G107" s="209">
        <v>64.6697204289799</v>
      </c>
      <c r="H107" s="209">
        <v>1.1584597247599329</v>
      </c>
      <c r="I107" s="209">
        <v>0.84765345714141427</v>
      </c>
      <c r="J107" s="209">
        <v>0.62161253523703719</v>
      </c>
      <c r="K107" s="209">
        <v>10.829057857843434</v>
      </c>
      <c r="L107" s="211">
        <v>5.775497524183165</v>
      </c>
      <c r="M107" s="210">
        <v>6.3834446319919191</v>
      </c>
      <c r="N107" s="212"/>
      <c r="O107" s="212"/>
      <c r="P107" s="124"/>
    </row>
    <row r="108" spans="2:16" x14ac:dyDescent="0.25">
      <c r="B108" s="146"/>
      <c r="C108" s="47" t="s">
        <v>210</v>
      </c>
      <c r="D108" s="209">
        <v>612.54999999999995</v>
      </c>
      <c r="E108" s="50" t="s">
        <v>211</v>
      </c>
      <c r="F108" s="209">
        <v>48.286892468962989</v>
      </c>
      <c r="G108" s="209">
        <v>64.866892468962988</v>
      </c>
      <c r="H108" s="209">
        <v>1.2127035752563942</v>
      </c>
      <c r="I108" s="209">
        <v>0.88734407945589822</v>
      </c>
      <c r="J108" s="209">
        <v>0.650718991600992</v>
      </c>
      <c r="K108" s="209">
        <v>11.324251269831036</v>
      </c>
      <c r="L108" s="211">
        <v>6.0396006772432189</v>
      </c>
      <c r="M108" s="210">
        <v>6.6753481169530309</v>
      </c>
      <c r="N108" s="212"/>
      <c r="O108" s="212"/>
      <c r="P108" s="124"/>
    </row>
    <row r="109" spans="2:16" x14ac:dyDescent="0.25">
      <c r="B109" s="146"/>
      <c r="C109" s="47" t="s">
        <v>212</v>
      </c>
      <c r="D109" s="209">
        <v>637.54999999999995</v>
      </c>
      <c r="E109" s="50" t="s">
        <v>211</v>
      </c>
      <c r="F109" s="209">
        <v>48.453664317046091</v>
      </c>
      <c r="G109" s="209">
        <v>65.033664317046089</v>
      </c>
      <c r="H109" s="209">
        <v>1.2665569810986419</v>
      </c>
      <c r="I109" s="209">
        <v>0.92674901055998193</v>
      </c>
      <c r="J109" s="209">
        <v>0.67961594107732015</v>
      </c>
      <c r="K109" s="209">
        <v>11.816730615319829</v>
      </c>
      <c r="L109" s="211">
        <v>6.302256328170575</v>
      </c>
      <c r="M109" s="210">
        <v>6.9656517311358979</v>
      </c>
      <c r="N109" s="212"/>
      <c r="O109" s="212"/>
      <c r="P109" s="124"/>
    </row>
    <row r="110" spans="2:16" x14ac:dyDescent="0.25">
      <c r="B110" s="146"/>
      <c r="C110" s="47" t="s">
        <v>213</v>
      </c>
      <c r="D110" s="209">
        <v>662.55</v>
      </c>
      <c r="E110" s="50" t="s">
        <v>211</v>
      </c>
      <c r="F110" s="209">
        <v>48.589702523229192</v>
      </c>
      <c r="G110" s="209">
        <v>65.169702523229191</v>
      </c>
      <c r="H110" s="209">
        <v>1.3199174036773855</v>
      </c>
      <c r="I110" s="209">
        <v>0.96579322220296504</v>
      </c>
      <c r="J110" s="209">
        <v>0.70824836294884108</v>
      </c>
      <c r="K110" s="209">
        <v>12.305783125928167</v>
      </c>
      <c r="L110" s="211">
        <v>6.5630843338283551</v>
      </c>
      <c r="M110" s="210">
        <v>7.2539353163366025</v>
      </c>
      <c r="N110" s="212"/>
      <c r="O110" s="212"/>
      <c r="P110" s="124"/>
    </row>
    <row r="111" spans="2:16" x14ac:dyDescent="0.25">
      <c r="B111" s="146"/>
      <c r="C111" s="47" t="s">
        <v>214</v>
      </c>
      <c r="D111" s="209">
        <v>687.55</v>
      </c>
      <c r="E111" s="50" t="s">
        <v>211</v>
      </c>
      <c r="F111" s="209">
        <v>48.694673637512295</v>
      </c>
      <c r="G111" s="209">
        <v>65.274673637512294</v>
      </c>
      <c r="H111" s="209">
        <v>1.3726809372383346</v>
      </c>
      <c r="I111" s="209">
        <v>1.0044006857841474</v>
      </c>
      <c r="J111" s="209">
        <v>0.73656050290837471</v>
      </c>
      <c r="K111" s="209">
        <v>12.790686529949399</v>
      </c>
      <c r="L111" s="211">
        <v>6.82169948263968</v>
      </c>
      <c r="M111" s="210">
        <v>7.5397731123912237</v>
      </c>
      <c r="N111" s="212"/>
      <c r="O111" s="212"/>
      <c r="P111" s="124"/>
    </row>
    <row r="112" spans="2:16" x14ac:dyDescent="0.25">
      <c r="B112" s="146"/>
      <c r="C112" s="47" t="s">
        <v>215</v>
      </c>
      <c r="D112" s="209">
        <v>725.05</v>
      </c>
      <c r="E112" s="50" t="s">
        <v>171</v>
      </c>
      <c r="F112" s="209">
        <v>48.793150089749446</v>
      </c>
      <c r="G112" s="209">
        <v>65.373150089749444</v>
      </c>
      <c r="H112" s="209">
        <v>1.4504764123754863</v>
      </c>
      <c r="I112" s="209">
        <v>1.0613242041771849</v>
      </c>
      <c r="J112" s="209">
        <v>0.77830441639660242</v>
      </c>
      <c r="K112" s="209">
        <v>13.508658704683258</v>
      </c>
      <c r="L112" s="211">
        <v>7.20461797583107</v>
      </c>
      <c r="M112" s="210">
        <v>7.9629988153922353</v>
      </c>
      <c r="N112" s="212"/>
      <c r="O112" s="212"/>
      <c r="P112" s="124"/>
    </row>
    <row r="113" spans="2:16" x14ac:dyDescent="0.25">
      <c r="B113" s="146"/>
      <c r="C113" s="47" t="s">
        <v>216</v>
      </c>
      <c r="D113" s="209">
        <v>775.05</v>
      </c>
      <c r="E113" s="50" t="s">
        <v>171</v>
      </c>
      <c r="F113" s="209">
        <v>48.817999999999984</v>
      </c>
      <c r="G113" s="209">
        <v>65.397999999999982</v>
      </c>
      <c r="H113" s="209">
        <v>1.5512920268999992</v>
      </c>
      <c r="I113" s="209">
        <v>1.1350917269999994</v>
      </c>
      <c r="J113" s="209">
        <v>0.83240059979999959</v>
      </c>
      <c r="K113" s="209">
        <v>14.445715171499996</v>
      </c>
      <c r="L113" s="211">
        <v>7.7043814247999975</v>
      </c>
      <c r="M113" s="210">
        <v>8.5153689431999986</v>
      </c>
      <c r="N113" s="212"/>
      <c r="O113" s="212"/>
      <c r="P113" s="124"/>
    </row>
    <row r="114" spans="2:16" x14ac:dyDescent="0.25">
      <c r="B114" s="146"/>
      <c r="C114" s="47" t="s">
        <v>217</v>
      </c>
      <c r="D114" s="209">
        <v>825.05</v>
      </c>
      <c r="E114" s="50" t="s">
        <v>171</v>
      </c>
      <c r="F114" s="209">
        <v>48.817999999999984</v>
      </c>
      <c r="G114" s="209">
        <v>65.397999999999982</v>
      </c>
      <c r="H114" s="209">
        <v>1.6513689268999994</v>
      </c>
      <c r="I114" s="209">
        <v>1.2083187269999995</v>
      </c>
      <c r="J114" s="209">
        <v>0.88610039979999966</v>
      </c>
      <c r="K114" s="209">
        <v>15.377636671499994</v>
      </c>
      <c r="L114" s="211">
        <v>8.2014062247999959</v>
      </c>
      <c r="M114" s="210">
        <v>9.064712143199996</v>
      </c>
      <c r="N114" s="212"/>
      <c r="O114" s="212"/>
      <c r="P114" s="124"/>
    </row>
    <row r="115" spans="2:16" x14ac:dyDescent="0.25">
      <c r="B115" s="146"/>
      <c r="C115" s="47" t="s">
        <v>218</v>
      </c>
      <c r="D115" s="209">
        <v>875.05</v>
      </c>
      <c r="E115" s="50" t="s">
        <v>171</v>
      </c>
      <c r="F115" s="209">
        <v>48.817999999999984</v>
      </c>
      <c r="G115" s="209">
        <v>65.397999999999982</v>
      </c>
      <c r="H115" s="209">
        <v>1.7514458268999995</v>
      </c>
      <c r="I115" s="209">
        <v>1.2815457269999997</v>
      </c>
      <c r="J115" s="209">
        <v>0.93980019979999974</v>
      </c>
      <c r="K115" s="209">
        <v>16.309558171499994</v>
      </c>
      <c r="L115" s="211">
        <v>8.6984310247999979</v>
      </c>
      <c r="M115" s="210">
        <v>9.6140553431999969</v>
      </c>
      <c r="N115" s="212"/>
      <c r="O115" s="212"/>
      <c r="P115" s="124"/>
    </row>
    <row r="116" spans="2:16" x14ac:dyDescent="0.25">
      <c r="B116" s="146"/>
      <c r="C116" s="47" t="s">
        <v>219</v>
      </c>
      <c r="D116" s="209">
        <v>925.05</v>
      </c>
      <c r="E116" s="50" t="s">
        <v>175</v>
      </c>
      <c r="F116" s="209">
        <v>48.817999999999984</v>
      </c>
      <c r="G116" s="209">
        <v>65.397999999999982</v>
      </c>
      <c r="H116" s="209">
        <v>1.851522726899999</v>
      </c>
      <c r="I116" s="209">
        <v>1.3547727269999992</v>
      </c>
      <c r="J116" s="209">
        <v>0.99349999979999948</v>
      </c>
      <c r="K116" s="209">
        <v>17.241479671499995</v>
      </c>
      <c r="L116" s="211">
        <v>9.1954558247999962</v>
      </c>
      <c r="M116" s="210">
        <v>10.163398543199996</v>
      </c>
      <c r="N116" s="212"/>
      <c r="O116" s="212"/>
      <c r="P116" s="124"/>
    </row>
    <row r="117" spans="2:16" x14ac:dyDescent="0.25">
      <c r="B117" s="146"/>
      <c r="C117" s="47" t="s">
        <v>220</v>
      </c>
      <c r="D117" s="209">
        <v>975.05</v>
      </c>
      <c r="E117" s="50" t="s">
        <v>175</v>
      </c>
      <c r="F117" s="209">
        <v>48.817999999999984</v>
      </c>
      <c r="G117" s="209">
        <v>65.397999999999982</v>
      </c>
      <c r="H117" s="209">
        <v>1.9515996268999991</v>
      </c>
      <c r="I117" s="209">
        <v>1.4279997269999993</v>
      </c>
      <c r="J117" s="209">
        <v>1.0471997997999996</v>
      </c>
      <c r="K117" s="209">
        <v>18.173401171499993</v>
      </c>
      <c r="L117" s="211">
        <v>9.6924806247999964</v>
      </c>
      <c r="M117" s="210">
        <v>10.712741743199995</v>
      </c>
      <c r="N117" s="212"/>
      <c r="O117" s="212"/>
      <c r="P117" s="124"/>
    </row>
    <row r="118" spans="2:16" x14ac:dyDescent="0.25">
      <c r="B118" s="146"/>
      <c r="C118" s="47" t="s">
        <v>221</v>
      </c>
      <c r="D118" s="209">
        <v>1050.05</v>
      </c>
      <c r="E118" s="50" t="s">
        <v>175</v>
      </c>
      <c r="F118" s="209">
        <v>48.817999999999984</v>
      </c>
      <c r="G118" s="209">
        <v>65.397999999999982</v>
      </c>
      <c r="H118" s="209">
        <v>2.101714976899999</v>
      </c>
      <c r="I118" s="209">
        <v>1.5378402269999993</v>
      </c>
      <c r="J118" s="209">
        <v>1.1277494997999997</v>
      </c>
      <c r="K118" s="209">
        <v>19.571283421499995</v>
      </c>
      <c r="L118" s="211">
        <v>10.438017824799996</v>
      </c>
      <c r="M118" s="210">
        <v>11.536756543199996</v>
      </c>
      <c r="N118" s="212"/>
      <c r="O118" s="212"/>
      <c r="P118" s="124"/>
    </row>
    <row r="119" spans="2:16" x14ac:dyDescent="0.25">
      <c r="B119" s="146"/>
      <c r="C119" s="47" t="s">
        <v>222</v>
      </c>
      <c r="D119" s="209">
        <v>1150.05</v>
      </c>
      <c r="E119" s="50" t="s">
        <v>175</v>
      </c>
      <c r="F119" s="209">
        <v>48.817999999999984</v>
      </c>
      <c r="G119" s="209">
        <v>65.397999999999982</v>
      </c>
      <c r="H119" s="209">
        <v>2.3018687768999988</v>
      </c>
      <c r="I119" s="209">
        <v>1.6842942269999992</v>
      </c>
      <c r="J119" s="209">
        <v>1.2351490997999994</v>
      </c>
      <c r="K119" s="209">
        <v>21.435126421499994</v>
      </c>
      <c r="L119" s="211">
        <v>11.432067424799996</v>
      </c>
      <c r="M119" s="210">
        <v>12.635442943199996</v>
      </c>
      <c r="N119" s="212"/>
      <c r="O119" s="212"/>
      <c r="P119" s="124"/>
    </row>
    <row r="120" spans="2:16" x14ac:dyDescent="0.25">
      <c r="B120" s="146"/>
      <c r="C120" s="47" t="s">
        <v>223</v>
      </c>
      <c r="D120" s="209">
        <v>1300.05</v>
      </c>
      <c r="E120" s="50" t="s">
        <v>224</v>
      </c>
      <c r="F120" s="209">
        <v>48.817999999999984</v>
      </c>
      <c r="G120" s="209">
        <v>65.397999999999982</v>
      </c>
      <c r="H120" s="209">
        <v>2.602099476899999</v>
      </c>
      <c r="I120" s="209">
        <v>1.9039752269999992</v>
      </c>
      <c r="J120" s="209">
        <v>1.3962484997999995</v>
      </c>
      <c r="K120" s="209">
        <v>24.230890921499991</v>
      </c>
      <c r="L120" s="211">
        <v>12.923141824799995</v>
      </c>
      <c r="M120" s="210">
        <v>14.283472543199993</v>
      </c>
      <c r="N120" s="212"/>
      <c r="O120" s="212"/>
      <c r="P120" s="124"/>
    </row>
    <row r="121" spans="2:16" x14ac:dyDescent="0.25">
      <c r="B121" s="146"/>
      <c r="C121" s="47" t="s">
        <v>225</v>
      </c>
      <c r="D121" s="209">
        <v>1500.05</v>
      </c>
      <c r="E121" s="50" t="s">
        <v>224</v>
      </c>
      <c r="F121" s="209">
        <v>48.817999999999984</v>
      </c>
      <c r="G121" s="209">
        <v>65.397999999999982</v>
      </c>
      <c r="H121" s="209">
        <v>3.0024070768999986</v>
      </c>
      <c r="I121" s="209">
        <v>2.1968832269999989</v>
      </c>
      <c r="J121" s="209">
        <v>1.6110476997999994</v>
      </c>
      <c r="K121" s="209">
        <v>27.95857692149999</v>
      </c>
      <c r="L121" s="211">
        <v>14.911241024799995</v>
      </c>
      <c r="M121" s="210">
        <v>16.480845343199995</v>
      </c>
      <c r="N121" s="212"/>
      <c r="O121" s="212"/>
      <c r="P121" s="124"/>
    </row>
    <row r="122" spans="2:16" x14ac:dyDescent="0.25">
      <c r="B122" s="146"/>
      <c r="C122" s="47" t="s">
        <v>226</v>
      </c>
      <c r="D122" s="209">
        <v>1800.05</v>
      </c>
      <c r="E122" s="50" t="s">
        <v>227</v>
      </c>
      <c r="F122" s="209">
        <v>48.817999999999984</v>
      </c>
      <c r="G122" s="209">
        <v>65.397999999999982</v>
      </c>
      <c r="H122" s="209">
        <v>3.6028684768999981</v>
      </c>
      <c r="I122" s="209">
        <v>2.6362452269999985</v>
      </c>
      <c r="J122" s="209">
        <v>1.9332464997999992</v>
      </c>
      <c r="K122" s="209">
        <v>33.550105921499991</v>
      </c>
      <c r="L122" s="211">
        <v>17.893389824799996</v>
      </c>
      <c r="M122" s="210">
        <v>19.776904543199993</v>
      </c>
      <c r="N122" s="212"/>
      <c r="O122" s="212"/>
      <c r="P122" s="124"/>
    </row>
    <row r="123" spans="2:16" x14ac:dyDescent="0.25">
      <c r="B123" s="146"/>
      <c r="C123" s="47" t="s">
        <v>228</v>
      </c>
      <c r="D123" s="209">
        <v>2200.0500000000002</v>
      </c>
      <c r="E123" s="50" t="s">
        <v>227</v>
      </c>
      <c r="F123" s="209">
        <v>48.817999999999984</v>
      </c>
      <c r="G123" s="209">
        <v>65.397999999999982</v>
      </c>
      <c r="H123" s="209">
        <v>4.4034836768999988</v>
      </c>
      <c r="I123" s="209">
        <v>3.2220612269999993</v>
      </c>
      <c r="J123" s="209">
        <v>2.3628448997999998</v>
      </c>
      <c r="K123" s="209">
        <v>41.005477921499988</v>
      </c>
      <c r="L123" s="211">
        <v>21.869588224799994</v>
      </c>
      <c r="M123" s="210">
        <v>24.17165014319999</v>
      </c>
      <c r="N123" s="212"/>
      <c r="O123" s="212"/>
      <c r="P123" s="124"/>
    </row>
    <row r="124" spans="2:16" x14ac:dyDescent="0.25">
      <c r="B124" s="146"/>
      <c r="C124" s="47" t="s">
        <v>229</v>
      </c>
      <c r="D124" s="209">
        <v>2700.05</v>
      </c>
      <c r="E124" s="50" t="s">
        <v>227</v>
      </c>
      <c r="F124" s="209">
        <v>48.817999999999984</v>
      </c>
      <c r="G124" s="209">
        <v>65.397999999999982</v>
      </c>
      <c r="H124" s="209">
        <v>5.4042526768999988</v>
      </c>
      <c r="I124" s="209">
        <v>3.9543312269999986</v>
      </c>
      <c r="J124" s="209">
        <v>2.8998428997999994</v>
      </c>
      <c r="K124" s="209">
        <v>50.324692921499988</v>
      </c>
      <c r="L124" s="211">
        <v>26.839836224799992</v>
      </c>
      <c r="M124" s="210">
        <v>29.665082143199992</v>
      </c>
      <c r="N124" s="212"/>
      <c r="O124" s="212"/>
      <c r="P124" s="124"/>
    </row>
    <row r="125" spans="2:16" x14ac:dyDescent="0.25">
      <c r="B125" s="146"/>
      <c r="C125" s="47" t="s">
        <v>230</v>
      </c>
      <c r="D125" s="209">
        <v>3500.05</v>
      </c>
      <c r="E125" s="50" t="s">
        <v>227</v>
      </c>
      <c r="F125" s="209">
        <v>48.817999999999984</v>
      </c>
      <c r="G125" s="209">
        <v>65.397999999999982</v>
      </c>
      <c r="H125" s="209">
        <v>7.0054830768999983</v>
      </c>
      <c r="I125" s="209">
        <v>5.1259632269999988</v>
      </c>
      <c r="J125" s="209">
        <v>3.7590396997999993</v>
      </c>
      <c r="K125" s="209">
        <v>65.235436921499982</v>
      </c>
      <c r="L125" s="211">
        <v>34.792233024799991</v>
      </c>
      <c r="M125" s="210">
        <v>38.454573343199982</v>
      </c>
      <c r="N125" s="212"/>
      <c r="O125" s="212"/>
      <c r="P125" s="124"/>
    </row>
    <row r="126" spans="2:16" x14ac:dyDescent="0.25">
      <c r="B126" s="146"/>
      <c r="C126" s="47" t="s">
        <v>231</v>
      </c>
      <c r="D126" s="209">
        <v>4750.05</v>
      </c>
      <c r="E126" s="50" t="s">
        <v>227</v>
      </c>
      <c r="F126" s="209">
        <v>48.817999999999984</v>
      </c>
      <c r="G126" s="209">
        <v>65.397999999999982</v>
      </c>
      <c r="H126" s="209">
        <v>9.5074055768999965</v>
      </c>
      <c r="I126" s="209">
        <v>6.9566382269999973</v>
      </c>
      <c r="J126" s="209">
        <v>5.1015346997999984</v>
      </c>
      <c r="K126" s="209">
        <v>88.533474421499989</v>
      </c>
      <c r="L126" s="211">
        <v>47.217853024799986</v>
      </c>
      <c r="M126" s="210">
        <v>52.188153343199986</v>
      </c>
      <c r="N126" s="212"/>
      <c r="O126" s="212"/>
      <c r="P126" s="124"/>
    </row>
    <row r="127" spans="2:16" x14ac:dyDescent="0.25">
      <c r="B127" s="146"/>
      <c r="C127" s="27"/>
      <c r="D127" s="27"/>
      <c r="E127" s="27"/>
      <c r="F127" s="27"/>
      <c r="G127" s="27"/>
      <c r="H127" s="27"/>
      <c r="I127" s="28"/>
      <c r="J127" s="28"/>
      <c r="K127" s="27"/>
      <c r="L127" s="206"/>
      <c r="M127" s="206"/>
      <c r="N127" s="206"/>
      <c r="O127" s="206"/>
      <c r="P127" s="124"/>
    </row>
    <row r="128" spans="2:16" x14ac:dyDescent="0.25">
      <c r="B128" s="146"/>
      <c r="C128" s="27" t="s">
        <v>232</v>
      </c>
      <c r="D128" s="27"/>
      <c r="E128" s="27"/>
      <c r="F128" s="27"/>
      <c r="G128" s="27" t="s">
        <v>233</v>
      </c>
      <c r="H128" s="27"/>
      <c r="I128" s="27" t="s">
        <v>234</v>
      </c>
      <c r="J128" s="28"/>
      <c r="K128" s="27"/>
      <c r="L128" s="206"/>
      <c r="M128" s="206"/>
      <c r="N128" s="206"/>
      <c r="O128" s="206"/>
      <c r="P128" s="124"/>
    </row>
    <row r="129" spans="2:16" ht="15.75" thickBot="1" x14ac:dyDescent="0.3">
      <c r="B129" s="146"/>
      <c r="C129" s="33" t="s">
        <v>235</v>
      </c>
      <c r="D129" s="39" t="s">
        <v>236</v>
      </c>
      <c r="E129" s="27"/>
      <c r="F129" s="27"/>
      <c r="G129" s="36" t="s">
        <v>237</v>
      </c>
      <c r="H129" s="27"/>
      <c r="I129" s="36" t="s">
        <v>238</v>
      </c>
      <c r="J129" s="28"/>
      <c r="K129" s="27"/>
      <c r="L129" s="206"/>
      <c r="M129" s="206"/>
      <c r="N129" s="206"/>
      <c r="O129" s="206"/>
      <c r="P129" s="124"/>
    </row>
    <row r="130" spans="2:16" ht="15.75" thickTop="1" x14ac:dyDescent="0.25">
      <c r="B130" s="146"/>
      <c r="C130" s="34" t="s">
        <v>169</v>
      </c>
      <c r="D130" s="40" t="s">
        <v>169</v>
      </c>
      <c r="E130" s="27"/>
      <c r="F130" s="27"/>
      <c r="G130" s="214" t="s">
        <v>170</v>
      </c>
      <c r="H130" s="27"/>
      <c r="I130" s="214" t="s">
        <v>170</v>
      </c>
      <c r="J130" s="28"/>
      <c r="K130" s="27"/>
      <c r="L130" s="206"/>
      <c r="M130" s="206"/>
      <c r="N130" s="206"/>
      <c r="O130" s="206"/>
      <c r="P130" s="124"/>
    </row>
    <row r="131" spans="2:16" x14ac:dyDescent="0.25">
      <c r="B131" s="146"/>
      <c r="C131" s="27"/>
      <c r="D131" s="27"/>
      <c r="E131" s="27"/>
      <c r="F131" s="27"/>
      <c r="G131" s="37" t="s">
        <v>176</v>
      </c>
      <c r="H131" s="27"/>
      <c r="I131" s="37" t="s">
        <v>176</v>
      </c>
      <c r="J131" s="28"/>
      <c r="K131" s="27"/>
      <c r="L131" s="206"/>
      <c r="M131" s="206"/>
      <c r="N131" s="206"/>
      <c r="O131" s="206"/>
      <c r="P131" s="124"/>
    </row>
    <row r="132" spans="2:16" x14ac:dyDescent="0.25">
      <c r="B132" s="146"/>
      <c r="C132" s="27"/>
      <c r="D132" s="27"/>
      <c r="E132" s="27"/>
      <c r="F132" s="27"/>
      <c r="G132" s="37" t="s">
        <v>177</v>
      </c>
      <c r="H132" s="27"/>
      <c r="I132" s="37" t="s">
        <v>177</v>
      </c>
      <c r="J132" s="206"/>
      <c r="K132" s="206"/>
      <c r="L132" s="206"/>
      <c r="M132" s="206"/>
      <c r="N132" s="206"/>
      <c r="O132" s="206"/>
      <c r="P132" s="124"/>
    </row>
    <row r="133" spans="2:16" x14ac:dyDescent="0.25">
      <c r="B133" s="146"/>
      <c r="C133" s="27" t="s">
        <v>239</v>
      </c>
      <c r="D133" s="27"/>
      <c r="E133" s="27"/>
      <c r="F133" s="27"/>
      <c r="G133" s="37" t="s">
        <v>183</v>
      </c>
      <c r="H133" s="29"/>
      <c r="I133" s="37" t="s">
        <v>183</v>
      </c>
      <c r="J133" s="206"/>
      <c r="K133" s="206"/>
      <c r="L133" s="206"/>
      <c r="M133" s="206"/>
      <c r="N133" s="206"/>
      <c r="O133" s="206"/>
      <c r="P133" s="124"/>
    </row>
    <row r="134" spans="2:16" ht="15.75" thickBot="1" x14ac:dyDescent="0.3">
      <c r="B134" s="146"/>
      <c r="C134" s="32" t="s">
        <v>240</v>
      </c>
      <c r="D134" s="31" t="s">
        <v>241</v>
      </c>
      <c r="E134" s="41" t="s">
        <v>242</v>
      </c>
      <c r="F134" s="27"/>
      <c r="G134" s="37" t="s">
        <v>178</v>
      </c>
      <c r="H134" s="27"/>
      <c r="I134" s="37" t="s">
        <v>178</v>
      </c>
      <c r="J134" s="206"/>
      <c r="K134" s="206"/>
      <c r="L134" s="206"/>
      <c r="M134" s="206"/>
      <c r="N134" s="206"/>
      <c r="O134" s="206"/>
      <c r="P134" s="124"/>
    </row>
    <row r="135" spans="2:16" ht="15.75" thickTop="1" x14ac:dyDescent="0.25">
      <c r="B135" s="146"/>
      <c r="C135" s="42" t="s">
        <v>243</v>
      </c>
      <c r="D135" s="43" t="s">
        <v>172</v>
      </c>
      <c r="E135" s="40" t="s">
        <v>244</v>
      </c>
      <c r="F135" s="27"/>
      <c r="G135" s="37" t="s">
        <v>179</v>
      </c>
      <c r="H135" s="27"/>
      <c r="I135" s="37" t="s">
        <v>179</v>
      </c>
      <c r="J135" s="206"/>
      <c r="K135" s="206"/>
      <c r="L135" s="206"/>
      <c r="M135" s="206"/>
      <c r="N135" s="206"/>
      <c r="O135" s="206"/>
      <c r="P135" s="124"/>
    </row>
    <row r="136" spans="2:16" x14ac:dyDescent="0.25">
      <c r="B136" s="146"/>
      <c r="C136" s="42" t="s">
        <v>245</v>
      </c>
      <c r="D136" s="43" t="s">
        <v>173</v>
      </c>
      <c r="E136" s="40" t="s">
        <v>246</v>
      </c>
      <c r="F136" s="27"/>
      <c r="G136" s="37" t="s">
        <v>247</v>
      </c>
      <c r="H136" s="27"/>
      <c r="I136" s="37" t="s">
        <v>180</v>
      </c>
      <c r="J136" s="206"/>
      <c r="K136" s="206"/>
      <c r="L136" s="206"/>
      <c r="M136" s="206"/>
      <c r="N136" s="206"/>
      <c r="O136" s="206"/>
      <c r="P136" s="124"/>
    </row>
    <row r="137" spans="2:16" x14ac:dyDescent="0.25">
      <c r="B137" s="146"/>
      <c r="C137" s="42" t="s">
        <v>248</v>
      </c>
      <c r="D137" s="43" t="s">
        <v>174</v>
      </c>
      <c r="E137" s="40" t="s">
        <v>249</v>
      </c>
      <c r="F137" s="27"/>
      <c r="G137" s="37" t="s">
        <v>180</v>
      </c>
      <c r="H137" s="27"/>
      <c r="I137" s="37" t="s">
        <v>181</v>
      </c>
      <c r="J137" s="206"/>
      <c r="K137" s="206"/>
      <c r="L137" s="206"/>
      <c r="M137" s="206"/>
      <c r="N137" s="206"/>
      <c r="O137" s="206"/>
      <c r="P137" s="124"/>
    </row>
    <row r="138" spans="2:16" x14ac:dyDescent="0.25">
      <c r="B138" s="146"/>
      <c r="C138" s="34" t="s">
        <v>250</v>
      </c>
      <c r="D138" s="43" t="s">
        <v>173</v>
      </c>
      <c r="E138" s="40" t="s">
        <v>246</v>
      </c>
      <c r="F138" s="27"/>
      <c r="G138" s="37" t="s">
        <v>181</v>
      </c>
      <c r="H138" s="27"/>
      <c r="I138" s="38" t="s">
        <v>187</v>
      </c>
      <c r="J138" s="206"/>
      <c r="K138" s="206"/>
      <c r="L138" s="206"/>
      <c r="M138" s="206"/>
      <c r="N138" s="206"/>
      <c r="O138" s="206"/>
      <c r="P138" s="124"/>
    </row>
    <row r="139" spans="2:16" x14ac:dyDescent="0.25">
      <c r="B139" s="146"/>
      <c r="C139" s="34" t="s">
        <v>251</v>
      </c>
      <c r="D139" s="43" t="s">
        <v>173</v>
      </c>
      <c r="E139" s="40" t="s">
        <v>246</v>
      </c>
      <c r="F139" s="27"/>
      <c r="G139" s="38" t="s">
        <v>187</v>
      </c>
      <c r="H139" s="27"/>
      <c r="I139" s="38" t="s">
        <v>188</v>
      </c>
      <c r="J139" s="206"/>
      <c r="K139" s="206"/>
      <c r="L139" s="206"/>
      <c r="M139" s="206"/>
      <c r="N139" s="206"/>
      <c r="O139" s="206"/>
      <c r="P139" s="124"/>
    </row>
    <row r="140" spans="2:16" x14ac:dyDescent="0.25">
      <c r="B140" s="146"/>
      <c r="C140" s="42" t="s">
        <v>252</v>
      </c>
      <c r="D140" s="43" t="s">
        <v>173</v>
      </c>
      <c r="E140" s="37" t="s">
        <v>246</v>
      </c>
      <c r="F140" s="27"/>
      <c r="G140" s="38" t="s">
        <v>188</v>
      </c>
      <c r="H140" s="27"/>
      <c r="I140" s="38" t="s">
        <v>189</v>
      </c>
      <c r="J140" s="206"/>
      <c r="K140" s="206"/>
      <c r="L140" s="206"/>
      <c r="M140" s="206"/>
      <c r="N140" s="206"/>
      <c r="O140" s="206"/>
      <c r="P140" s="124"/>
    </row>
    <row r="141" spans="2:16" x14ac:dyDescent="0.25">
      <c r="B141" s="146"/>
      <c r="C141" s="27"/>
      <c r="D141" s="28"/>
      <c r="E141" s="27"/>
      <c r="F141" s="27"/>
      <c r="G141" s="38" t="s">
        <v>189</v>
      </c>
      <c r="H141" s="27"/>
      <c r="I141" s="38" t="s">
        <v>190</v>
      </c>
      <c r="J141" s="206"/>
      <c r="K141" s="206"/>
      <c r="L141" s="206"/>
      <c r="M141" s="206"/>
      <c r="N141" s="206"/>
      <c r="O141" s="206"/>
      <c r="P141" s="124"/>
    </row>
    <row r="142" spans="2:16" x14ac:dyDescent="0.25">
      <c r="B142" s="146"/>
      <c r="C142" s="27" t="s">
        <v>253</v>
      </c>
      <c r="D142" s="28"/>
      <c r="E142" s="27"/>
      <c r="F142" s="27"/>
      <c r="G142" s="38" t="s">
        <v>190</v>
      </c>
      <c r="H142" s="27"/>
      <c r="I142" s="37" t="s">
        <v>117</v>
      </c>
      <c r="J142" s="206"/>
      <c r="K142" s="206"/>
      <c r="L142" s="206"/>
      <c r="M142" s="206"/>
      <c r="N142" s="206"/>
      <c r="O142" s="206"/>
      <c r="P142" s="124"/>
    </row>
    <row r="143" spans="2:16" ht="15.75" thickBot="1" x14ac:dyDescent="0.3">
      <c r="B143" s="146"/>
      <c r="C143" s="213" t="s">
        <v>158</v>
      </c>
      <c r="D143" s="36" t="s">
        <v>236</v>
      </c>
      <c r="E143" s="27"/>
      <c r="F143" s="27"/>
      <c r="G143" s="37" t="s">
        <v>117</v>
      </c>
      <c r="H143" s="27"/>
      <c r="I143" s="37" t="s">
        <v>191</v>
      </c>
      <c r="J143" s="206"/>
      <c r="K143" s="206"/>
      <c r="L143" s="206"/>
      <c r="M143" s="206"/>
      <c r="N143" s="206"/>
      <c r="O143" s="206"/>
      <c r="P143" s="124"/>
    </row>
    <row r="144" spans="2:16" ht="15.75" thickTop="1" x14ac:dyDescent="0.25">
      <c r="B144" s="146"/>
      <c r="C144" s="34" t="s">
        <v>254</v>
      </c>
      <c r="D144" s="35" t="b">
        <v>1</v>
      </c>
      <c r="E144" s="27"/>
      <c r="F144" s="27"/>
      <c r="G144" s="37" t="s">
        <v>191</v>
      </c>
      <c r="H144" s="27"/>
      <c r="I144" s="37" t="s">
        <v>192</v>
      </c>
      <c r="J144" s="206"/>
      <c r="K144" s="206"/>
      <c r="L144" s="206"/>
      <c r="M144" s="206"/>
      <c r="N144" s="206"/>
      <c r="O144" s="206"/>
      <c r="P144" s="124"/>
    </row>
    <row r="145" spans="2:16" x14ac:dyDescent="0.25">
      <c r="B145" s="146"/>
      <c r="C145" s="34" t="s">
        <v>83</v>
      </c>
      <c r="D145" s="35" t="b">
        <v>0</v>
      </c>
      <c r="E145" s="27"/>
      <c r="F145" s="27"/>
      <c r="G145" s="37" t="s">
        <v>192</v>
      </c>
      <c r="H145" s="27"/>
      <c r="I145" s="37" t="s">
        <v>122</v>
      </c>
      <c r="J145" s="206"/>
      <c r="K145" s="206"/>
      <c r="L145" s="206"/>
      <c r="M145" s="206"/>
      <c r="N145" s="206"/>
      <c r="O145" s="206"/>
      <c r="P145" s="124"/>
    </row>
    <row r="146" spans="2:16" x14ac:dyDescent="0.25">
      <c r="B146" s="146"/>
      <c r="C146" s="27"/>
      <c r="D146" s="28"/>
      <c r="E146" s="28"/>
      <c r="F146" s="27"/>
      <c r="G146" s="30" t="s">
        <v>122</v>
      </c>
      <c r="H146" s="27"/>
      <c r="I146" s="1"/>
      <c r="J146" s="1"/>
      <c r="K146" s="1"/>
      <c r="L146" s="1"/>
      <c r="M146" s="1"/>
      <c r="N146" s="1"/>
      <c r="O146" s="1"/>
      <c r="P146" s="124"/>
    </row>
    <row r="147" spans="2:16" ht="15.75" thickBot="1" x14ac:dyDescent="0.3">
      <c r="B147" s="167"/>
      <c r="C147" s="194"/>
      <c r="D147" s="195"/>
      <c r="E147" s="195"/>
      <c r="F147" s="194"/>
      <c r="G147" s="149"/>
      <c r="H147" s="196"/>
      <c r="I147" s="149"/>
      <c r="J147" s="149"/>
      <c r="K147" s="149"/>
      <c r="L147" s="149"/>
      <c r="M147" s="149"/>
      <c r="N147" s="149"/>
      <c r="O147" s="149"/>
      <c r="P147" s="150"/>
    </row>
    <row r="148" spans="2:16" ht="15.75" thickTop="1" x14ac:dyDescent="0.25">
      <c r="F148" s="37"/>
      <c r="H148" s="30"/>
    </row>
    <row r="149" spans="2:16" x14ac:dyDescent="0.25">
      <c r="F149" s="37"/>
      <c r="G149" s="37"/>
      <c r="H149" s="37"/>
      <c r="I149" s="35"/>
      <c r="J149" s="35"/>
      <c r="K149" s="30"/>
    </row>
    <row r="150" spans="2:16" x14ac:dyDescent="0.25">
      <c r="F150" s="37"/>
      <c r="G150" s="37"/>
      <c r="H150" s="37"/>
      <c r="I150" s="35"/>
      <c r="J150" s="35"/>
      <c r="K150" s="30"/>
    </row>
    <row r="151" spans="2:16" x14ac:dyDescent="0.25">
      <c r="F151" s="37"/>
      <c r="G151" s="37"/>
      <c r="H151" s="37"/>
      <c r="I151" s="35"/>
      <c r="J151" s="35"/>
      <c r="K151" s="30"/>
    </row>
    <row r="152" spans="2:16" x14ac:dyDescent="0.25">
      <c r="F152" s="37"/>
      <c r="G152" s="37"/>
      <c r="H152" s="37"/>
      <c r="I152" s="35"/>
      <c r="J152" s="35"/>
      <c r="K152" s="30"/>
    </row>
    <row r="153" spans="2:16" x14ac:dyDescent="0.25">
      <c r="F153" s="37"/>
      <c r="G153" s="37"/>
      <c r="H153" s="37"/>
      <c r="I153" s="35"/>
      <c r="J153" s="35"/>
      <c r="K153" s="30"/>
    </row>
    <row r="154" spans="2:16" x14ac:dyDescent="0.25">
      <c r="F154" s="37"/>
      <c r="G154" s="37"/>
      <c r="H154" s="37"/>
      <c r="I154" s="35"/>
      <c r="J154" s="35"/>
      <c r="K154" s="30"/>
    </row>
    <row r="155" spans="2:16" x14ac:dyDescent="0.25">
      <c r="F155" s="37"/>
      <c r="G155" s="37"/>
      <c r="H155" s="37"/>
      <c r="I155" s="35"/>
      <c r="J155" s="35"/>
      <c r="K155" s="30"/>
    </row>
    <row r="156" spans="2:16" x14ac:dyDescent="0.25">
      <c r="F156" s="37"/>
      <c r="G156" s="37"/>
      <c r="H156" s="37"/>
      <c r="I156" s="35"/>
      <c r="J156" s="35"/>
      <c r="K156" s="30"/>
    </row>
    <row r="157" spans="2:16" x14ac:dyDescent="0.25">
      <c r="F157" s="37"/>
      <c r="G157" s="37"/>
      <c r="H157" s="37"/>
      <c r="I157" s="35"/>
      <c r="J157" s="35"/>
      <c r="K157" s="30"/>
    </row>
    <row r="158" spans="2:16" x14ac:dyDescent="0.25">
      <c r="F158" s="37"/>
      <c r="G158" s="37"/>
      <c r="H158" s="37"/>
      <c r="I158" s="35"/>
      <c r="J158" s="35"/>
      <c r="K158" s="30"/>
    </row>
    <row r="159" spans="2:16" x14ac:dyDescent="0.25">
      <c r="F159" s="37"/>
      <c r="G159" s="37"/>
      <c r="H159" s="37"/>
      <c r="I159" s="35"/>
      <c r="J159" s="35"/>
      <c r="K159" s="30"/>
    </row>
    <row r="160" spans="2:16" x14ac:dyDescent="0.25">
      <c r="F160" s="37"/>
      <c r="G160" s="37"/>
      <c r="H160" s="37"/>
      <c r="I160" s="35"/>
      <c r="J160" s="35"/>
      <c r="K160" s="30"/>
    </row>
    <row r="161" spans="6:16" x14ac:dyDescent="0.25">
      <c r="F161" s="37"/>
      <c r="G161" s="37"/>
      <c r="H161" s="37"/>
      <c r="I161" s="35"/>
      <c r="J161" s="35"/>
      <c r="K161" s="30"/>
    </row>
    <row r="162" spans="6:16" x14ac:dyDescent="0.25">
      <c r="F162" s="37"/>
      <c r="G162" s="37"/>
      <c r="H162" s="37"/>
      <c r="I162" s="35"/>
      <c r="J162" s="35"/>
      <c r="K162" s="30"/>
    </row>
    <row r="163" spans="6:16" x14ac:dyDescent="0.25">
      <c r="F163" s="37"/>
      <c r="G163" s="37"/>
      <c r="H163" s="37"/>
      <c r="I163" s="35"/>
      <c r="J163" s="35"/>
      <c r="K163" s="30"/>
    </row>
    <row r="164" spans="6:16" x14ac:dyDescent="0.25">
      <c r="F164" s="37"/>
      <c r="G164" s="37"/>
      <c r="H164" s="37"/>
      <c r="I164" s="35"/>
      <c r="J164" s="35"/>
      <c r="K164" s="30"/>
    </row>
    <row r="165" spans="6:16" x14ac:dyDescent="0.25">
      <c r="F165" s="37"/>
      <c r="G165" s="37"/>
      <c r="H165" s="37"/>
      <c r="I165" s="35"/>
      <c r="J165" s="35"/>
      <c r="K165" s="30"/>
      <c r="L165" s="30"/>
      <c r="M165" s="30"/>
      <c r="N165" s="30"/>
      <c r="O165" s="30"/>
      <c r="P165" s="30"/>
    </row>
  </sheetData>
  <sheetProtection algorithmName="SHA-512" hashValue="HGQmdOf09WuLUtKaZnSJK59KDa66cCQjvlKw639CQTIyFkrLzez2VLYZdLBwYjx//MJvJaZsqV2Obbdx5fDi0g==" saltValue="9mEZlVX5nMjT5iQqi6SOsg==" spinCount="100000" sheet="1" objects="1" scenarios="1"/>
  <mergeCells count="1">
    <mergeCell ref="B2:P4"/>
  </mergeCells>
  <phoneticPr fontId="29" type="noConversion"/>
  <dataValidations count="1">
    <dataValidation allowBlank="1" showInputMessage="1" showErrorMessage="1" prompt="This value is dependent on the rainfall volume." sqref="I98:J100 I94:J94" xr:uid="{5683ECF9-B236-43B7-B2FD-F42CED51FC31}"/>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284AB-D707-4B49-9272-F77376498E2A}">
  <dimension ref="B2:N121"/>
  <sheetViews>
    <sheetView showRowColHeaders="0" zoomScaleNormal="100" workbookViewId="0">
      <selection activeCell="B36" sqref="B36:M36"/>
    </sheetView>
  </sheetViews>
  <sheetFormatPr defaultColWidth="9.140625" defaultRowHeight="15" x14ac:dyDescent="0.25"/>
  <cols>
    <col min="1" max="13" width="9.140625" style="152"/>
    <col min="14" max="14" width="1.7109375" style="152" customWidth="1"/>
    <col min="15" max="16384" width="9.140625" style="152"/>
  </cols>
  <sheetData>
    <row r="2" spans="2:14" ht="15.75" thickBot="1" x14ac:dyDescent="0.3"/>
    <row r="3" spans="2:14" ht="15.75" customHeight="1" thickTop="1" x14ac:dyDescent="0.25">
      <c r="B3" s="235" t="s">
        <v>1</v>
      </c>
      <c r="C3" s="236"/>
      <c r="D3" s="236"/>
      <c r="E3" s="236"/>
      <c r="F3" s="236"/>
      <c r="G3" s="236"/>
      <c r="H3" s="236"/>
      <c r="I3" s="236"/>
      <c r="J3" s="236"/>
      <c r="K3" s="236"/>
      <c r="L3" s="236"/>
      <c r="M3" s="236"/>
      <c r="N3" s="237"/>
    </row>
    <row r="4" spans="2:14" ht="15" customHeight="1" x14ac:dyDescent="0.25">
      <c r="B4" s="238"/>
      <c r="C4" s="239"/>
      <c r="D4" s="239"/>
      <c r="E4" s="239"/>
      <c r="F4" s="239"/>
      <c r="G4" s="239"/>
      <c r="H4" s="239"/>
      <c r="I4" s="239"/>
      <c r="J4" s="239"/>
      <c r="K4" s="239"/>
      <c r="L4" s="239"/>
      <c r="M4" s="239"/>
      <c r="N4" s="240"/>
    </row>
    <row r="5" spans="2:14" ht="15" customHeight="1" x14ac:dyDescent="0.25">
      <c r="B5" s="238"/>
      <c r="C5" s="239"/>
      <c r="D5" s="239"/>
      <c r="E5" s="239"/>
      <c r="F5" s="239"/>
      <c r="G5" s="239"/>
      <c r="H5" s="239"/>
      <c r="I5" s="239"/>
      <c r="J5" s="239"/>
      <c r="K5" s="239"/>
      <c r="L5" s="239"/>
      <c r="M5" s="239"/>
      <c r="N5" s="240"/>
    </row>
    <row r="6" spans="2:14" ht="8.25" customHeight="1" x14ac:dyDescent="0.25">
      <c r="B6" s="146"/>
      <c r="C6" s="1"/>
      <c r="D6" s="1"/>
      <c r="E6" s="1"/>
      <c r="F6" s="1"/>
      <c r="G6" s="1"/>
      <c r="H6" s="1"/>
      <c r="I6" s="1"/>
      <c r="J6" s="1"/>
      <c r="K6" s="1"/>
      <c r="L6" s="1"/>
      <c r="M6" s="1"/>
      <c r="N6" s="124"/>
    </row>
    <row r="7" spans="2:14" ht="56.25" customHeight="1" x14ac:dyDescent="0.25">
      <c r="B7" s="241" t="s">
        <v>2</v>
      </c>
      <c r="C7" s="242"/>
      <c r="D7" s="242"/>
      <c r="E7" s="242"/>
      <c r="F7" s="242"/>
      <c r="G7" s="242"/>
      <c r="H7" s="242"/>
      <c r="I7" s="242"/>
      <c r="J7" s="242"/>
      <c r="K7" s="242"/>
      <c r="L7" s="242"/>
      <c r="M7" s="242"/>
      <c r="N7" s="124"/>
    </row>
    <row r="8" spans="2:14" ht="59.25" customHeight="1" x14ac:dyDescent="0.25">
      <c r="B8" s="243" t="s">
        <v>3</v>
      </c>
      <c r="C8" s="244"/>
      <c r="D8" s="244"/>
      <c r="E8" s="244"/>
      <c r="F8" s="244"/>
      <c r="G8" s="244"/>
      <c r="H8" s="244"/>
      <c r="I8" s="244"/>
      <c r="J8" s="244"/>
      <c r="K8" s="244"/>
      <c r="L8" s="244"/>
      <c r="M8" s="244"/>
      <c r="N8" s="124"/>
    </row>
    <row r="9" spans="2:14" x14ac:dyDescent="0.25">
      <c r="B9" s="147"/>
      <c r="C9" s="22"/>
      <c r="D9" s="22"/>
      <c r="E9" s="22"/>
      <c r="F9" s="22"/>
      <c r="G9" s="22"/>
      <c r="H9" s="22"/>
      <c r="I9" s="22"/>
      <c r="J9" s="22"/>
      <c r="K9" s="22"/>
      <c r="L9" s="22"/>
      <c r="M9" s="22"/>
      <c r="N9" s="124"/>
    </row>
    <row r="10" spans="2:14" x14ac:dyDescent="0.25">
      <c r="B10" s="147"/>
      <c r="C10" s="22"/>
      <c r="D10" s="22"/>
      <c r="E10" s="22"/>
      <c r="F10" s="22"/>
      <c r="G10" s="22"/>
      <c r="H10" s="22"/>
      <c r="I10" s="22"/>
      <c r="J10" s="22"/>
      <c r="K10" s="22"/>
      <c r="L10" s="22"/>
      <c r="M10" s="22"/>
      <c r="N10" s="124"/>
    </row>
    <row r="11" spans="2:14" x14ac:dyDescent="0.25">
      <c r="B11" s="147"/>
      <c r="C11" s="22"/>
      <c r="D11" s="22"/>
      <c r="E11" s="22"/>
      <c r="F11" s="22"/>
      <c r="G11" s="22"/>
      <c r="H11" s="22"/>
      <c r="I11" s="22"/>
      <c r="J11" s="22"/>
      <c r="K11" s="22"/>
      <c r="L11" s="22"/>
      <c r="M11" s="22"/>
      <c r="N11" s="124"/>
    </row>
    <row r="12" spans="2:14" x14ac:dyDescent="0.25">
      <c r="B12" s="147"/>
      <c r="C12" s="22"/>
      <c r="D12" s="22"/>
      <c r="E12" s="22"/>
      <c r="F12" s="22"/>
      <c r="G12" s="22"/>
      <c r="H12" s="22"/>
      <c r="I12" s="22"/>
      <c r="J12" s="22"/>
      <c r="K12" s="22"/>
      <c r="L12" s="22"/>
      <c r="M12" s="22"/>
      <c r="N12" s="124"/>
    </row>
    <row r="13" spans="2:14" x14ac:dyDescent="0.25">
      <c r="B13" s="147"/>
      <c r="C13" s="22"/>
      <c r="D13" s="22"/>
      <c r="E13" s="22"/>
      <c r="F13" s="22"/>
      <c r="G13" s="22"/>
      <c r="H13" s="22"/>
      <c r="I13" s="22"/>
      <c r="J13" s="22"/>
      <c r="K13" s="22"/>
      <c r="L13" s="22"/>
      <c r="M13" s="22"/>
      <c r="N13" s="124"/>
    </row>
    <row r="14" spans="2:14" x14ac:dyDescent="0.25">
      <c r="B14" s="147"/>
      <c r="C14" s="22"/>
      <c r="D14" s="22"/>
      <c r="E14" s="22"/>
      <c r="F14" s="22"/>
      <c r="G14" s="22"/>
      <c r="H14" s="22"/>
      <c r="I14" s="22"/>
      <c r="J14" s="22"/>
      <c r="K14" s="22"/>
      <c r="L14" s="22"/>
      <c r="M14" s="22"/>
      <c r="N14" s="124"/>
    </row>
    <row r="15" spans="2:14" x14ac:dyDescent="0.25">
      <c r="B15" s="147"/>
      <c r="C15" s="22"/>
      <c r="D15" s="22"/>
      <c r="E15" s="22"/>
      <c r="F15" s="22"/>
      <c r="G15" s="22"/>
      <c r="H15" s="22"/>
      <c r="I15" s="22"/>
      <c r="J15" s="22"/>
      <c r="K15" s="22"/>
      <c r="L15" s="22"/>
      <c r="M15" s="22"/>
      <c r="N15" s="124"/>
    </row>
    <row r="16" spans="2:14" x14ac:dyDescent="0.25">
      <c r="B16" s="147"/>
      <c r="C16" s="22"/>
      <c r="D16" s="22"/>
      <c r="E16" s="22"/>
      <c r="F16" s="22"/>
      <c r="G16" s="22"/>
      <c r="H16" s="22"/>
      <c r="I16" s="22"/>
      <c r="J16" s="22"/>
      <c r="K16" s="22"/>
      <c r="L16" s="22"/>
      <c r="M16" s="22"/>
      <c r="N16" s="124"/>
    </row>
    <row r="17" spans="2:14" x14ac:dyDescent="0.25">
      <c r="B17" s="147"/>
      <c r="C17" s="22"/>
      <c r="D17" s="22"/>
      <c r="E17" s="22"/>
      <c r="F17" s="22"/>
      <c r="G17" s="22"/>
      <c r="H17" s="22"/>
      <c r="I17" s="22"/>
      <c r="J17" s="22"/>
      <c r="K17" s="22"/>
      <c r="L17" s="22"/>
      <c r="M17" s="22"/>
      <c r="N17" s="124"/>
    </row>
    <row r="18" spans="2:14" x14ac:dyDescent="0.25">
      <c r="B18" s="147"/>
      <c r="C18" s="22"/>
      <c r="D18" s="22"/>
      <c r="E18" s="22"/>
      <c r="F18" s="22"/>
      <c r="G18" s="22"/>
      <c r="H18" s="22"/>
      <c r="I18" s="22"/>
      <c r="J18" s="22"/>
      <c r="K18" s="22"/>
      <c r="L18" s="22"/>
      <c r="M18" s="22"/>
      <c r="N18" s="124"/>
    </row>
    <row r="19" spans="2:14" x14ac:dyDescent="0.25">
      <c r="B19" s="147"/>
      <c r="C19" s="22"/>
      <c r="D19" s="22"/>
      <c r="E19" s="22"/>
      <c r="F19" s="22"/>
      <c r="G19" s="22"/>
      <c r="H19" s="22"/>
      <c r="I19" s="22"/>
      <c r="J19" s="22"/>
      <c r="K19" s="22"/>
      <c r="L19" s="22"/>
      <c r="M19" s="22"/>
      <c r="N19" s="124"/>
    </row>
    <row r="20" spans="2:14" x14ac:dyDescent="0.25">
      <c r="B20" s="147"/>
      <c r="C20" s="22"/>
      <c r="D20" s="22"/>
      <c r="E20" s="22"/>
      <c r="F20" s="22"/>
      <c r="G20" s="22"/>
      <c r="H20" s="22"/>
      <c r="I20" s="22"/>
      <c r="J20" s="22"/>
      <c r="K20" s="22"/>
      <c r="L20" s="22"/>
      <c r="M20" s="22"/>
      <c r="N20" s="124"/>
    </row>
    <row r="21" spans="2:14" x14ac:dyDescent="0.25">
      <c r="B21" s="147"/>
      <c r="C21" s="22"/>
      <c r="D21" s="22"/>
      <c r="E21" s="22"/>
      <c r="F21" s="22"/>
      <c r="G21" s="22"/>
      <c r="H21" s="22"/>
      <c r="I21" s="22"/>
      <c r="J21" s="22"/>
      <c r="K21" s="22"/>
      <c r="L21" s="22"/>
      <c r="M21" s="22"/>
      <c r="N21" s="124"/>
    </row>
    <row r="22" spans="2:14" x14ac:dyDescent="0.25">
      <c r="B22" s="147"/>
      <c r="C22" s="22"/>
      <c r="D22" s="22"/>
      <c r="E22" s="22"/>
      <c r="F22" s="22"/>
      <c r="G22" s="22"/>
      <c r="H22" s="22"/>
      <c r="I22" s="22"/>
      <c r="J22" s="22"/>
      <c r="K22" s="22"/>
      <c r="L22" s="22"/>
      <c r="M22" s="22"/>
      <c r="N22" s="124"/>
    </row>
    <row r="23" spans="2:14" x14ac:dyDescent="0.25">
      <c r="B23" s="147"/>
      <c r="C23" s="22"/>
      <c r="D23" s="22"/>
      <c r="E23" s="22"/>
      <c r="F23" s="22"/>
      <c r="G23" s="22"/>
      <c r="H23" s="22"/>
      <c r="I23" s="22"/>
      <c r="J23" s="22"/>
      <c r="K23" s="22"/>
      <c r="L23" s="22"/>
      <c r="M23" s="22"/>
      <c r="N23" s="124"/>
    </row>
    <row r="24" spans="2:14" x14ac:dyDescent="0.25">
      <c r="B24" s="147"/>
      <c r="C24" s="22"/>
      <c r="D24" s="22"/>
      <c r="E24" s="22"/>
      <c r="F24" s="22"/>
      <c r="G24" s="22"/>
      <c r="H24" s="22"/>
      <c r="I24" s="22"/>
      <c r="J24" s="22"/>
      <c r="K24" s="22"/>
      <c r="L24" s="22"/>
      <c r="M24" s="22"/>
      <c r="N24" s="124"/>
    </row>
    <row r="25" spans="2:14" x14ac:dyDescent="0.25">
      <c r="B25" s="147"/>
      <c r="C25" s="22"/>
      <c r="D25" s="22"/>
      <c r="E25" s="22"/>
      <c r="F25" s="22"/>
      <c r="G25" s="22"/>
      <c r="H25" s="22"/>
      <c r="I25" s="22"/>
      <c r="J25" s="22"/>
      <c r="K25" s="22"/>
      <c r="L25" s="22"/>
      <c r="M25" s="22"/>
      <c r="N25" s="124"/>
    </row>
    <row r="26" spans="2:14" x14ac:dyDescent="0.25">
      <c r="B26" s="147"/>
      <c r="C26" s="22"/>
      <c r="D26" s="22"/>
      <c r="E26" s="22"/>
      <c r="F26" s="22"/>
      <c r="G26" s="22"/>
      <c r="H26" s="22"/>
      <c r="I26" s="22"/>
      <c r="J26" s="22"/>
      <c r="K26" s="22"/>
      <c r="L26" s="22"/>
      <c r="M26" s="22"/>
      <c r="N26" s="124"/>
    </row>
    <row r="27" spans="2:14" x14ac:dyDescent="0.25">
      <c r="B27" s="147"/>
      <c r="C27" s="22"/>
      <c r="D27" s="22"/>
      <c r="E27" s="22"/>
      <c r="F27" s="22"/>
      <c r="G27" s="22"/>
      <c r="H27" s="22"/>
      <c r="I27" s="22"/>
      <c r="J27" s="22"/>
      <c r="K27" s="22"/>
      <c r="L27" s="22"/>
      <c r="M27" s="22"/>
      <c r="N27" s="124"/>
    </row>
    <row r="28" spans="2:14" x14ac:dyDescent="0.25">
      <c r="B28" s="147"/>
      <c r="C28" s="22"/>
      <c r="D28" s="22"/>
      <c r="E28" s="22"/>
      <c r="F28" s="22"/>
      <c r="G28" s="22"/>
      <c r="H28" s="22"/>
      <c r="I28" s="22"/>
      <c r="J28" s="22"/>
      <c r="K28" s="22"/>
      <c r="L28" s="22"/>
      <c r="M28" s="22"/>
      <c r="N28" s="124"/>
    </row>
    <row r="29" spans="2:14" x14ac:dyDescent="0.25">
      <c r="B29" s="147"/>
      <c r="C29" s="22"/>
      <c r="D29" s="22"/>
      <c r="E29" s="22"/>
      <c r="F29" s="22"/>
      <c r="G29" s="22"/>
      <c r="H29" s="22"/>
      <c r="I29" s="22"/>
      <c r="J29" s="22"/>
      <c r="K29" s="22"/>
      <c r="L29" s="22"/>
      <c r="M29" s="22"/>
      <c r="N29" s="124"/>
    </row>
    <row r="30" spans="2:14" x14ac:dyDescent="0.25">
      <c r="B30" s="147"/>
      <c r="C30" s="22"/>
      <c r="D30" s="22"/>
      <c r="E30" s="22"/>
      <c r="F30" s="22"/>
      <c r="G30" s="22"/>
      <c r="H30" s="22"/>
      <c r="I30" s="22"/>
      <c r="J30" s="22"/>
      <c r="K30" s="22"/>
      <c r="L30" s="22"/>
      <c r="M30" s="22"/>
      <c r="N30" s="124"/>
    </row>
    <row r="31" spans="2:14" x14ac:dyDescent="0.25">
      <c r="B31" s="147"/>
      <c r="C31" s="22"/>
      <c r="D31" s="22"/>
      <c r="E31" s="22"/>
      <c r="F31" s="22"/>
      <c r="G31" s="22"/>
      <c r="H31" s="22"/>
      <c r="I31" s="22"/>
      <c r="J31" s="22"/>
      <c r="K31" s="22"/>
      <c r="L31" s="22"/>
      <c r="M31" s="22"/>
      <c r="N31" s="124"/>
    </row>
    <row r="32" spans="2:14" x14ac:dyDescent="0.25">
      <c r="B32" s="147"/>
      <c r="C32" s="22"/>
      <c r="D32" s="22"/>
      <c r="E32" s="22"/>
      <c r="F32" s="22"/>
      <c r="G32" s="22"/>
      <c r="H32" s="22"/>
      <c r="I32" s="22"/>
      <c r="J32" s="22"/>
      <c r="K32" s="22"/>
      <c r="L32" s="22"/>
      <c r="M32" s="22"/>
      <c r="N32" s="124"/>
    </row>
    <row r="33" spans="2:14" x14ac:dyDescent="0.25">
      <c r="B33" s="147"/>
      <c r="C33" s="22"/>
      <c r="D33" s="22"/>
      <c r="E33" s="22"/>
      <c r="F33" s="22"/>
      <c r="G33" s="22"/>
      <c r="H33" s="22"/>
      <c r="I33" s="22"/>
      <c r="J33" s="22"/>
      <c r="K33" s="22"/>
      <c r="L33" s="22"/>
      <c r="M33" s="22"/>
      <c r="N33" s="124"/>
    </row>
    <row r="34" spans="2:14" ht="57.75" customHeight="1" x14ac:dyDescent="0.25">
      <c r="B34" s="243" t="s">
        <v>4</v>
      </c>
      <c r="C34" s="244"/>
      <c r="D34" s="244"/>
      <c r="E34" s="244"/>
      <c r="F34" s="244"/>
      <c r="G34" s="244"/>
      <c r="H34" s="244"/>
      <c r="I34" s="244"/>
      <c r="J34" s="244"/>
      <c r="K34" s="244"/>
      <c r="L34" s="244"/>
      <c r="M34" s="244"/>
      <c r="N34" s="124"/>
    </row>
    <row r="35" spans="2:14" ht="60" customHeight="1" x14ac:dyDescent="0.25">
      <c r="B35" s="241" t="s">
        <v>5</v>
      </c>
      <c r="C35" s="242"/>
      <c r="D35" s="242"/>
      <c r="E35" s="242"/>
      <c r="F35" s="242"/>
      <c r="G35" s="242"/>
      <c r="H35" s="242"/>
      <c r="I35" s="242"/>
      <c r="J35" s="242"/>
      <c r="K35" s="242"/>
      <c r="L35" s="242"/>
      <c r="M35" s="242"/>
      <c r="N35" s="124"/>
    </row>
    <row r="36" spans="2:14" ht="81.75" customHeight="1" thickBot="1" x14ac:dyDescent="0.3">
      <c r="B36" s="233" t="s">
        <v>6</v>
      </c>
      <c r="C36" s="234"/>
      <c r="D36" s="234"/>
      <c r="E36" s="234"/>
      <c r="F36" s="234"/>
      <c r="G36" s="234"/>
      <c r="H36" s="234"/>
      <c r="I36" s="234"/>
      <c r="J36" s="234"/>
      <c r="K36" s="234"/>
      <c r="L36" s="234"/>
      <c r="M36" s="234"/>
      <c r="N36" s="150"/>
    </row>
    <row r="37" spans="2:14" ht="15.75" thickTop="1" x14ac:dyDescent="0.25">
      <c r="B37" s="30"/>
      <c r="C37" s="30"/>
      <c r="D37" s="30"/>
      <c r="E37" s="30"/>
      <c r="F37" s="30"/>
      <c r="G37" s="30"/>
      <c r="H37" s="30"/>
      <c r="I37" s="30"/>
      <c r="J37" s="30"/>
      <c r="K37" s="30"/>
      <c r="L37" s="30"/>
      <c r="M37" s="30"/>
    </row>
    <row r="38" spans="2:14" x14ac:dyDescent="0.25">
      <c r="B38" s="30"/>
      <c r="C38" s="30"/>
      <c r="D38" s="30"/>
      <c r="E38" s="30"/>
      <c r="F38" s="30"/>
      <c r="G38" s="30"/>
      <c r="H38" s="30"/>
      <c r="I38" s="30"/>
      <c r="J38" s="30"/>
      <c r="K38" s="30"/>
      <c r="L38" s="30"/>
      <c r="M38" s="30"/>
    </row>
    <row r="39" spans="2:14" x14ac:dyDescent="0.25">
      <c r="B39" s="30"/>
      <c r="C39" s="30"/>
      <c r="D39" s="30"/>
      <c r="E39" s="30"/>
      <c r="F39" s="30"/>
      <c r="G39" s="30"/>
      <c r="H39" s="30"/>
      <c r="I39" s="30"/>
      <c r="J39" s="30"/>
      <c r="K39" s="30"/>
      <c r="L39" s="30"/>
      <c r="M39" s="30"/>
    </row>
    <row r="40" spans="2:14" x14ac:dyDescent="0.25">
      <c r="B40" s="30"/>
      <c r="C40" s="30"/>
      <c r="D40" s="30"/>
      <c r="E40" s="30"/>
      <c r="F40" s="30"/>
      <c r="G40" s="30"/>
      <c r="H40" s="30"/>
      <c r="I40" s="30"/>
      <c r="J40" s="30"/>
      <c r="K40" s="30"/>
      <c r="L40" s="30"/>
      <c r="M40" s="30"/>
    </row>
    <row r="41" spans="2:14" x14ac:dyDescent="0.25">
      <c r="B41" s="30"/>
      <c r="C41" s="30"/>
      <c r="D41" s="30"/>
      <c r="E41" s="30"/>
      <c r="F41" s="30"/>
      <c r="G41" s="30"/>
      <c r="H41" s="30"/>
      <c r="I41" s="30"/>
      <c r="J41" s="30"/>
      <c r="K41" s="30"/>
      <c r="L41" s="30"/>
      <c r="M41" s="30"/>
    </row>
    <row r="42" spans="2:14" x14ac:dyDescent="0.25">
      <c r="B42" s="30"/>
      <c r="C42" s="30"/>
      <c r="D42" s="30"/>
      <c r="E42" s="30"/>
      <c r="F42" s="30"/>
      <c r="G42" s="30"/>
      <c r="H42" s="30"/>
      <c r="I42" s="30"/>
      <c r="J42" s="30"/>
      <c r="K42" s="30"/>
      <c r="L42" s="30"/>
      <c r="M42" s="30"/>
    </row>
    <row r="43" spans="2:14" x14ac:dyDescent="0.25">
      <c r="B43" s="30"/>
      <c r="C43" s="30"/>
      <c r="D43" s="30"/>
      <c r="E43" s="30"/>
      <c r="F43" s="30"/>
      <c r="G43" s="30"/>
      <c r="H43" s="30"/>
      <c r="I43" s="30"/>
      <c r="J43" s="30"/>
      <c r="K43" s="30"/>
      <c r="L43" s="30"/>
      <c r="M43" s="30"/>
    </row>
    <row r="44" spans="2:14" x14ac:dyDescent="0.25">
      <c r="B44" s="30"/>
      <c r="C44" s="30"/>
      <c r="D44" s="30"/>
      <c r="E44" s="30"/>
      <c r="F44" s="30"/>
      <c r="G44" s="30"/>
      <c r="H44" s="30"/>
      <c r="I44" s="30"/>
      <c r="J44" s="30"/>
      <c r="K44" s="30"/>
      <c r="L44" s="30"/>
      <c r="M44" s="30"/>
    </row>
    <row r="45" spans="2:14" x14ac:dyDescent="0.25">
      <c r="B45" s="30"/>
      <c r="C45" s="30"/>
      <c r="D45" s="30"/>
      <c r="E45" s="30"/>
      <c r="F45" s="30"/>
      <c r="G45" s="30"/>
      <c r="H45" s="30"/>
      <c r="I45" s="30"/>
      <c r="J45" s="30"/>
      <c r="K45" s="30"/>
      <c r="L45" s="30"/>
      <c r="M45" s="30"/>
    </row>
    <row r="46" spans="2:14" x14ac:dyDescent="0.25">
      <c r="B46" s="30"/>
      <c r="C46" s="30"/>
      <c r="D46" s="30"/>
      <c r="E46" s="30"/>
      <c r="F46" s="30"/>
      <c r="G46" s="30"/>
      <c r="H46" s="30"/>
      <c r="I46" s="30"/>
      <c r="J46" s="30"/>
      <c r="K46" s="30"/>
      <c r="L46" s="30"/>
      <c r="M46" s="30"/>
    </row>
    <row r="47" spans="2:14" x14ac:dyDescent="0.25">
      <c r="B47" s="30"/>
      <c r="C47" s="30"/>
      <c r="D47" s="30"/>
      <c r="E47" s="30"/>
      <c r="F47" s="30"/>
      <c r="G47" s="30"/>
      <c r="H47" s="30"/>
      <c r="I47" s="30"/>
      <c r="J47" s="30"/>
      <c r="K47" s="30"/>
      <c r="L47" s="30"/>
      <c r="M47" s="30"/>
    </row>
    <row r="48" spans="2:14"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row r="97" spans="2:13" x14ac:dyDescent="0.25">
      <c r="B97" s="30"/>
      <c r="C97" s="30"/>
      <c r="D97" s="30"/>
      <c r="E97" s="30"/>
      <c r="F97" s="30"/>
      <c r="G97" s="30"/>
      <c r="H97" s="30"/>
      <c r="I97" s="30"/>
      <c r="J97" s="30"/>
      <c r="K97" s="30"/>
      <c r="L97" s="30"/>
      <c r="M97" s="30"/>
    </row>
    <row r="98" spans="2:13" x14ac:dyDescent="0.25">
      <c r="B98" s="30"/>
      <c r="C98" s="30"/>
      <c r="D98" s="30"/>
      <c r="E98" s="30"/>
      <c r="F98" s="30"/>
      <c r="G98" s="30"/>
      <c r="H98" s="30"/>
      <c r="I98" s="30"/>
      <c r="J98" s="30"/>
      <c r="K98" s="30"/>
      <c r="L98" s="30"/>
      <c r="M98" s="30"/>
    </row>
    <row r="99" spans="2:13" x14ac:dyDescent="0.25">
      <c r="B99" s="30"/>
      <c r="C99" s="30"/>
      <c r="D99" s="30"/>
      <c r="E99" s="30"/>
      <c r="F99" s="30"/>
      <c r="G99" s="30"/>
      <c r="H99" s="30"/>
      <c r="I99" s="30"/>
      <c r="J99" s="30"/>
      <c r="K99" s="30"/>
      <c r="L99" s="30"/>
      <c r="M99" s="30"/>
    </row>
    <row r="100" spans="2:13" x14ac:dyDescent="0.25">
      <c r="B100" s="30"/>
      <c r="C100" s="30"/>
      <c r="D100" s="30"/>
      <c r="E100" s="30"/>
      <c r="F100" s="30"/>
      <c r="G100" s="30"/>
      <c r="H100" s="30"/>
      <c r="I100" s="30"/>
      <c r="J100" s="30"/>
      <c r="K100" s="30"/>
      <c r="L100" s="30"/>
      <c r="M100" s="30"/>
    </row>
    <row r="101" spans="2:13" x14ac:dyDescent="0.25">
      <c r="B101" s="30"/>
      <c r="C101" s="30"/>
      <c r="D101" s="30"/>
      <c r="E101" s="30"/>
      <c r="F101" s="30"/>
      <c r="G101" s="30"/>
      <c r="H101" s="30"/>
      <c r="I101" s="30"/>
      <c r="J101" s="30"/>
      <c r="K101" s="30"/>
      <c r="L101" s="30"/>
      <c r="M101" s="30"/>
    </row>
    <row r="102" spans="2:13" x14ac:dyDescent="0.25">
      <c r="B102" s="30"/>
      <c r="C102" s="30"/>
      <c r="D102" s="30"/>
      <c r="E102" s="30"/>
      <c r="F102" s="30"/>
      <c r="G102" s="30"/>
      <c r="H102" s="30"/>
      <c r="I102" s="30"/>
      <c r="J102" s="30"/>
      <c r="K102" s="30"/>
      <c r="L102" s="30"/>
      <c r="M102" s="30"/>
    </row>
    <row r="103" spans="2:13" x14ac:dyDescent="0.25">
      <c r="B103" s="30"/>
      <c r="C103" s="30"/>
      <c r="D103" s="30"/>
      <c r="E103" s="30"/>
      <c r="F103" s="30"/>
      <c r="G103" s="30"/>
      <c r="H103" s="30"/>
      <c r="I103" s="30"/>
      <c r="J103" s="30"/>
      <c r="K103" s="30"/>
      <c r="L103" s="30"/>
      <c r="M103" s="30"/>
    </row>
    <row r="104" spans="2:13" x14ac:dyDescent="0.25">
      <c r="B104" s="30"/>
      <c r="C104" s="30"/>
      <c r="D104" s="30"/>
      <c r="E104" s="30"/>
      <c r="F104" s="30"/>
      <c r="G104" s="30"/>
      <c r="H104" s="30"/>
      <c r="I104" s="30"/>
      <c r="J104" s="30"/>
      <c r="K104" s="30"/>
      <c r="L104" s="30"/>
      <c r="M104" s="30"/>
    </row>
    <row r="105" spans="2:13" x14ac:dyDescent="0.25">
      <c r="B105" s="30"/>
      <c r="C105" s="30"/>
      <c r="D105" s="30"/>
      <c r="E105" s="30"/>
      <c r="F105" s="30"/>
      <c r="G105" s="30"/>
      <c r="H105" s="30"/>
      <c r="I105" s="30"/>
      <c r="J105" s="30"/>
      <c r="K105" s="30"/>
      <c r="L105" s="30"/>
      <c r="M105" s="30"/>
    </row>
    <row r="106" spans="2:13" x14ac:dyDescent="0.25">
      <c r="B106" s="30"/>
      <c r="C106" s="30"/>
      <c r="D106" s="30"/>
      <c r="E106" s="30"/>
      <c r="F106" s="30"/>
      <c r="G106" s="30"/>
      <c r="H106" s="30"/>
      <c r="I106" s="30"/>
      <c r="J106" s="30"/>
      <c r="K106" s="30"/>
      <c r="L106" s="30"/>
      <c r="M106" s="30"/>
    </row>
    <row r="107" spans="2:13" x14ac:dyDescent="0.25">
      <c r="B107" s="30"/>
      <c r="C107" s="30"/>
      <c r="D107" s="30"/>
      <c r="E107" s="30"/>
      <c r="F107" s="30"/>
      <c r="G107" s="30"/>
      <c r="H107" s="30"/>
      <c r="I107" s="30"/>
      <c r="J107" s="30"/>
      <c r="K107" s="30"/>
      <c r="L107" s="30"/>
      <c r="M107" s="30"/>
    </row>
    <row r="108" spans="2:13" x14ac:dyDescent="0.25">
      <c r="B108" s="30"/>
      <c r="C108" s="30"/>
      <c r="D108" s="30"/>
      <c r="E108" s="30"/>
      <c r="F108" s="30"/>
      <c r="G108" s="30"/>
      <c r="H108" s="30"/>
      <c r="I108" s="30"/>
      <c r="J108" s="30"/>
      <c r="K108" s="30"/>
      <c r="L108" s="30"/>
      <c r="M108" s="30"/>
    </row>
    <row r="109" spans="2:13" x14ac:dyDescent="0.25">
      <c r="B109" s="30"/>
      <c r="C109" s="30"/>
      <c r="D109" s="30"/>
      <c r="E109" s="30"/>
      <c r="F109" s="30"/>
      <c r="G109" s="30"/>
      <c r="H109" s="30"/>
      <c r="I109" s="30"/>
      <c r="J109" s="30"/>
      <c r="K109" s="30"/>
      <c r="L109" s="30"/>
      <c r="M109" s="30"/>
    </row>
    <row r="110" spans="2:13" x14ac:dyDescent="0.25">
      <c r="B110" s="30"/>
      <c r="C110" s="30"/>
      <c r="D110" s="30"/>
      <c r="E110" s="30"/>
      <c r="F110" s="30"/>
      <c r="G110" s="30"/>
      <c r="H110" s="30"/>
      <c r="I110" s="30"/>
      <c r="J110" s="30"/>
      <c r="K110" s="30"/>
      <c r="L110" s="30"/>
      <c r="M110" s="30"/>
    </row>
    <row r="111" spans="2:13" x14ac:dyDescent="0.25">
      <c r="B111" s="30"/>
      <c r="C111" s="30"/>
      <c r="D111" s="30"/>
      <c r="E111" s="30"/>
      <c r="F111" s="30"/>
      <c r="G111" s="30"/>
      <c r="H111" s="30"/>
      <c r="I111" s="30"/>
      <c r="J111" s="30"/>
      <c r="K111" s="30"/>
      <c r="L111" s="30"/>
      <c r="M111" s="30"/>
    </row>
    <row r="112" spans="2:13" x14ac:dyDescent="0.25">
      <c r="B112" s="30"/>
      <c r="C112" s="30"/>
      <c r="D112" s="30"/>
      <c r="E112" s="30"/>
      <c r="F112" s="30"/>
      <c r="G112" s="30"/>
      <c r="H112" s="30"/>
      <c r="I112" s="30"/>
      <c r="J112" s="30"/>
      <c r="K112" s="30"/>
      <c r="L112" s="30"/>
      <c r="M112" s="30"/>
    </row>
    <row r="113" spans="2:13" x14ac:dyDescent="0.25">
      <c r="B113" s="30"/>
      <c r="C113" s="30"/>
      <c r="D113" s="30"/>
      <c r="E113" s="30"/>
      <c r="F113" s="30"/>
      <c r="G113" s="30"/>
      <c r="H113" s="30"/>
      <c r="I113" s="30"/>
      <c r="J113" s="30"/>
      <c r="K113" s="30"/>
      <c r="L113" s="30"/>
      <c r="M113" s="30"/>
    </row>
    <row r="114" spans="2:13" x14ac:dyDescent="0.25">
      <c r="B114" s="30"/>
      <c r="C114" s="30"/>
      <c r="D114" s="30"/>
      <c r="E114" s="30"/>
      <c r="F114" s="30"/>
      <c r="G114" s="30"/>
      <c r="H114" s="30"/>
      <c r="I114" s="30"/>
      <c r="J114" s="30"/>
      <c r="K114" s="30"/>
      <c r="L114" s="30"/>
      <c r="M114" s="30"/>
    </row>
    <row r="115" spans="2:13" x14ac:dyDescent="0.25">
      <c r="B115" s="30"/>
      <c r="C115" s="30"/>
      <c r="D115" s="30"/>
      <c r="E115" s="30"/>
      <c r="F115" s="30"/>
      <c r="G115" s="30"/>
      <c r="H115" s="30"/>
      <c r="I115" s="30"/>
      <c r="J115" s="30"/>
      <c r="K115" s="30"/>
      <c r="L115" s="30"/>
      <c r="M115" s="30"/>
    </row>
    <row r="116" spans="2:13" x14ac:dyDescent="0.25">
      <c r="B116" s="30"/>
      <c r="C116" s="30"/>
      <c r="D116" s="30"/>
      <c r="E116" s="30"/>
      <c r="F116" s="30"/>
      <c r="G116" s="30"/>
      <c r="H116" s="30"/>
      <c r="I116" s="30"/>
      <c r="J116" s="30"/>
      <c r="K116" s="30"/>
      <c r="L116" s="30"/>
      <c r="M116" s="30"/>
    </row>
    <row r="117" spans="2:13" x14ac:dyDescent="0.25">
      <c r="B117" s="30"/>
      <c r="C117" s="30"/>
      <c r="D117" s="30"/>
      <c r="E117" s="30"/>
      <c r="F117" s="30"/>
      <c r="G117" s="30"/>
      <c r="H117" s="30"/>
      <c r="I117" s="30"/>
      <c r="J117" s="30"/>
      <c r="K117" s="30"/>
      <c r="L117" s="30"/>
      <c r="M117" s="30"/>
    </row>
    <row r="118" spans="2:13" x14ac:dyDescent="0.25">
      <c r="B118" s="30"/>
      <c r="C118" s="30"/>
      <c r="D118" s="30"/>
      <c r="E118" s="30"/>
      <c r="F118" s="30"/>
      <c r="G118" s="30"/>
      <c r="H118" s="30"/>
      <c r="I118" s="30"/>
      <c r="J118" s="30"/>
      <c r="K118" s="30"/>
      <c r="L118" s="30"/>
      <c r="M118" s="30"/>
    </row>
    <row r="119" spans="2:13" x14ac:dyDescent="0.25">
      <c r="B119" s="30"/>
      <c r="C119" s="30"/>
      <c r="D119" s="30"/>
      <c r="E119" s="30"/>
      <c r="F119" s="30"/>
      <c r="G119" s="30"/>
      <c r="H119" s="30"/>
      <c r="I119" s="30"/>
      <c r="J119" s="30"/>
      <c r="K119" s="30"/>
      <c r="L119" s="30"/>
      <c r="M119" s="30"/>
    </row>
    <row r="120" spans="2:13" x14ac:dyDescent="0.25">
      <c r="B120" s="30"/>
      <c r="C120" s="30"/>
      <c r="D120" s="30"/>
      <c r="E120" s="30"/>
      <c r="F120" s="30"/>
      <c r="G120" s="30"/>
      <c r="H120" s="30"/>
      <c r="I120" s="30"/>
      <c r="J120" s="30"/>
      <c r="K120" s="30"/>
      <c r="L120" s="30"/>
      <c r="M120" s="30"/>
    </row>
    <row r="121" spans="2:13" x14ac:dyDescent="0.25">
      <c r="B121" s="30"/>
      <c r="C121" s="30"/>
      <c r="D121" s="30"/>
      <c r="E121" s="30"/>
      <c r="F121" s="30"/>
      <c r="G121" s="30"/>
      <c r="H121" s="30"/>
      <c r="I121" s="30"/>
      <c r="J121" s="30"/>
      <c r="K121" s="30"/>
      <c r="L121" s="30"/>
      <c r="M121" s="30"/>
    </row>
  </sheetData>
  <sheetProtection algorithmName="SHA-512" hashValue="TuwjN/9qWNXVbhr4rHm8M0+U0XMd96bhHnoFEFsswHfNvaOYKnr1ecVaCje/FHzw2ATM1jzdikB73Pb6ejBnpQ==" saltValue="7YYztNJAE/HM6DtM34QRwg==" spinCount="100000" sheet="1" objects="1" scenarios="1" selectLockedCells="1" selectUnlockedCells="1"/>
  <mergeCells count="6">
    <mergeCell ref="B36:M36"/>
    <mergeCell ref="B3:N5"/>
    <mergeCell ref="B7:M7"/>
    <mergeCell ref="B8:M8"/>
    <mergeCell ref="B34:M34"/>
    <mergeCell ref="B35:M35"/>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E790-3297-431D-A107-3109FAA135DC}">
  <dimension ref="A3:AH97"/>
  <sheetViews>
    <sheetView showRowColHeaders="0" zoomScaleNormal="100" workbookViewId="0">
      <selection activeCell="B9" sqref="B9:M9"/>
    </sheetView>
  </sheetViews>
  <sheetFormatPr defaultColWidth="9.140625" defaultRowHeight="15" x14ac:dyDescent="0.25"/>
  <cols>
    <col min="1" max="13" width="9.140625" style="152"/>
    <col min="14" max="14" width="1.7109375" style="152" customWidth="1"/>
    <col min="15" max="26" width="9.140625" style="152"/>
    <col min="27" max="27" width="2.85546875" style="152" customWidth="1"/>
    <col min="28" max="29" width="9.140625" style="152" hidden="1" customWidth="1"/>
    <col min="30" max="30" width="8.5703125" style="152" hidden="1" customWidth="1"/>
    <col min="31" max="31" width="0.42578125" style="152" customWidth="1"/>
    <col min="32" max="16384" width="9.140625" style="152"/>
  </cols>
  <sheetData>
    <row r="3" spans="1:34" ht="15.75" customHeight="1" x14ac:dyDescent="0.25">
      <c r="A3" s="216"/>
      <c r="B3" s="247" t="s">
        <v>7</v>
      </c>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17"/>
      <c r="AG3" s="217"/>
      <c r="AH3" s="217"/>
    </row>
    <row r="4" spans="1:34" ht="15" customHeight="1" x14ac:dyDescent="0.25">
      <c r="A4" s="216"/>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17"/>
      <c r="AG4" s="217"/>
      <c r="AH4" s="217"/>
    </row>
    <row r="5" spans="1:34" ht="8.25" customHeight="1" x14ac:dyDescent="0.25">
      <c r="B5" s="146"/>
      <c r="C5" s="1"/>
      <c r="D5" s="1"/>
      <c r="E5" s="1"/>
      <c r="F5" s="1"/>
      <c r="G5" s="1"/>
      <c r="H5" s="1"/>
      <c r="I5" s="1"/>
      <c r="J5" s="1"/>
      <c r="K5" s="1"/>
      <c r="L5" s="1"/>
      <c r="M5" s="1"/>
      <c r="N5" s="124"/>
    </row>
    <row r="6" spans="1:34" ht="26.25" customHeight="1" x14ac:dyDescent="0.25">
      <c r="B6" s="241" t="s">
        <v>8</v>
      </c>
      <c r="C6" s="242"/>
      <c r="D6" s="242"/>
      <c r="E6" s="242"/>
      <c r="F6" s="242"/>
      <c r="G6" s="242"/>
      <c r="H6" s="242"/>
      <c r="I6" s="242"/>
      <c r="J6" s="242"/>
      <c r="K6" s="242"/>
      <c r="L6" s="242"/>
      <c r="M6" s="242"/>
      <c r="N6" s="124"/>
    </row>
    <row r="7" spans="1:34" ht="27.75" customHeight="1" x14ac:dyDescent="0.25">
      <c r="B7" s="245" t="s">
        <v>9</v>
      </c>
      <c r="C7" s="246"/>
      <c r="D7" s="246"/>
      <c r="E7" s="246"/>
      <c r="F7" s="246"/>
      <c r="G7" s="246"/>
      <c r="H7" s="246"/>
      <c r="I7" s="246"/>
      <c r="J7" s="246"/>
      <c r="K7" s="246"/>
      <c r="L7" s="246"/>
      <c r="M7" s="246"/>
      <c r="N7" s="124"/>
    </row>
    <row r="8" spans="1:34" ht="35.450000000000003" customHeight="1" x14ac:dyDescent="0.25">
      <c r="B8" s="245" t="s">
        <v>10</v>
      </c>
      <c r="C8" s="246"/>
      <c r="D8" s="246"/>
      <c r="E8" s="246"/>
      <c r="F8" s="246"/>
      <c r="G8" s="246"/>
      <c r="H8" s="246"/>
      <c r="I8" s="246"/>
      <c r="J8" s="246"/>
      <c r="K8" s="246"/>
      <c r="L8" s="246"/>
      <c r="M8" s="246"/>
      <c r="N8" s="124"/>
    </row>
    <row r="9" spans="1:34" ht="60" customHeight="1" x14ac:dyDescent="0.25">
      <c r="B9" s="245" t="s">
        <v>11</v>
      </c>
      <c r="C9" s="246"/>
      <c r="D9" s="246"/>
      <c r="E9" s="246"/>
      <c r="F9" s="246"/>
      <c r="G9" s="246"/>
      <c r="H9" s="246"/>
      <c r="I9" s="246"/>
      <c r="J9" s="246"/>
      <c r="K9" s="246"/>
      <c r="L9" s="246"/>
      <c r="M9" s="246"/>
      <c r="N9" s="124"/>
    </row>
    <row r="10" spans="1:34" ht="78" customHeight="1" x14ac:dyDescent="0.25">
      <c r="B10" s="245" t="s">
        <v>12</v>
      </c>
      <c r="C10" s="246"/>
      <c r="D10" s="246"/>
      <c r="E10" s="246"/>
      <c r="F10" s="246"/>
      <c r="G10" s="246"/>
      <c r="H10" s="246"/>
      <c r="I10" s="246"/>
      <c r="J10" s="246"/>
      <c r="K10" s="246"/>
      <c r="L10" s="246"/>
      <c r="M10" s="246"/>
      <c r="N10" s="124"/>
    </row>
    <row r="11" spans="1:34" ht="37.5" customHeight="1" x14ac:dyDescent="0.25">
      <c r="B11" s="245" t="s">
        <v>13</v>
      </c>
      <c r="C11" s="246"/>
      <c r="D11" s="246"/>
      <c r="E11" s="246"/>
      <c r="F11" s="246"/>
      <c r="G11" s="246"/>
      <c r="H11" s="246"/>
      <c r="I11" s="246"/>
      <c r="J11" s="246"/>
      <c r="K11" s="246"/>
      <c r="L11" s="246"/>
      <c r="M11" s="246"/>
      <c r="N11" s="124"/>
    </row>
    <row r="12" spans="1:34" ht="15" customHeight="1" thickBot="1" x14ac:dyDescent="0.3">
      <c r="B12" s="233"/>
      <c r="C12" s="234"/>
      <c r="D12" s="234"/>
      <c r="E12" s="234"/>
      <c r="F12" s="234"/>
      <c r="G12" s="234"/>
      <c r="H12" s="234"/>
      <c r="I12" s="234"/>
      <c r="J12" s="234"/>
      <c r="K12" s="234"/>
      <c r="L12" s="234"/>
      <c r="M12" s="234"/>
      <c r="N12" s="150"/>
    </row>
    <row r="13" spans="1:34" ht="15.75" thickTop="1" x14ac:dyDescent="0.25">
      <c r="B13" s="30"/>
      <c r="C13" s="30"/>
      <c r="D13" s="30"/>
      <c r="E13" s="30"/>
      <c r="F13" s="30"/>
      <c r="G13" s="30"/>
      <c r="H13" s="30"/>
      <c r="I13" s="30"/>
      <c r="J13" s="30"/>
      <c r="K13" s="30"/>
      <c r="L13" s="30"/>
      <c r="M13" s="30"/>
    </row>
    <row r="14" spans="1:34" x14ac:dyDescent="0.25">
      <c r="B14" s="30"/>
      <c r="C14" s="30"/>
      <c r="D14" s="30"/>
      <c r="E14" s="30"/>
      <c r="F14" s="30"/>
      <c r="G14" s="30"/>
      <c r="H14" s="30"/>
      <c r="I14" s="30"/>
      <c r="J14" s="30"/>
      <c r="K14" s="30"/>
      <c r="L14" s="30"/>
      <c r="M14" s="30"/>
    </row>
    <row r="15" spans="1:34" x14ac:dyDescent="0.25">
      <c r="B15" s="30"/>
      <c r="C15" s="30"/>
      <c r="D15" s="30"/>
      <c r="E15" s="30"/>
      <c r="F15" s="30"/>
      <c r="G15" s="30"/>
      <c r="H15" s="30"/>
      <c r="I15" s="30"/>
      <c r="J15" s="30"/>
      <c r="K15" s="30"/>
      <c r="L15" s="30"/>
      <c r="M15" s="30"/>
    </row>
    <row r="16" spans="1:34" x14ac:dyDescent="0.25">
      <c r="B16" s="30"/>
      <c r="C16" s="30"/>
      <c r="D16" s="30"/>
      <c r="E16" s="30"/>
      <c r="F16" s="30"/>
      <c r="G16" s="30"/>
      <c r="H16" s="30"/>
      <c r="I16" s="30"/>
      <c r="J16" s="30"/>
      <c r="K16" s="30"/>
      <c r="L16" s="30"/>
      <c r="M16" s="30"/>
    </row>
    <row r="17" spans="2:13" x14ac:dyDescent="0.25">
      <c r="B17" s="30"/>
      <c r="C17" s="30"/>
      <c r="D17" s="30"/>
      <c r="E17" s="30"/>
      <c r="F17" s="30"/>
      <c r="G17" s="30"/>
      <c r="H17" s="30"/>
      <c r="I17" s="30"/>
      <c r="J17" s="30"/>
      <c r="K17" s="30"/>
      <c r="L17" s="30"/>
      <c r="M17" s="30"/>
    </row>
    <row r="18" spans="2:13" x14ac:dyDescent="0.25">
      <c r="B18" s="30"/>
      <c r="C18" s="30"/>
      <c r="D18" s="30"/>
      <c r="E18" s="30"/>
      <c r="F18" s="30"/>
      <c r="G18" s="30"/>
      <c r="H18" s="30"/>
      <c r="I18" s="30"/>
      <c r="J18" s="30"/>
      <c r="K18" s="30"/>
      <c r="L18" s="30"/>
      <c r="M18" s="30"/>
    </row>
    <row r="19" spans="2:13" x14ac:dyDescent="0.25">
      <c r="B19" s="30"/>
      <c r="C19" s="30"/>
      <c r="D19" s="30"/>
      <c r="E19" s="30"/>
      <c r="F19" s="30"/>
      <c r="G19" s="30"/>
      <c r="H19" s="30"/>
      <c r="I19" s="30"/>
      <c r="J19" s="30"/>
      <c r="K19" s="30"/>
      <c r="L19" s="30"/>
      <c r="M19" s="30"/>
    </row>
    <row r="20" spans="2:13" x14ac:dyDescent="0.25">
      <c r="B20" s="30"/>
      <c r="C20" s="30"/>
      <c r="D20" s="30"/>
      <c r="E20" s="30"/>
      <c r="F20" s="30"/>
      <c r="G20" s="30"/>
      <c r="H20" s="30"/>
      <c r="I20" s="30"/>
      <c r="J20" s="30"/>
      <c r="K20" s="30"/>
      <c r="L20" s="30"/>
      <c r="M20" s="30"/>
    </row>
    <row r="21" spans="2:13" x14ac:dyDescent="0.25">
      <c r="B21" s="30"/>
      <c r="C21" s="30"/>
      <c r="D21" s="30"/>
      <c r="E21" s="30"/>
      <c r="F21" s="30"/>
      <c r="G21" s="30"/>
      <c r="H21" s="30"/>
      <c r="I21" s="30"/>
      <c r="J21" s="30"/>
      <c r="K21" s="30"/>
      <c r="L21" s="30"/>
      <c r="M21" s="30"/>
    </row>
    <row r="22" spans="2:13" x14ac:dyDescent="0.25">
      <c r="B22" s="30"/>
      <c r="C22" s="30"/>
      <c r="D22" s="30"/>
      <c r="E22" s="30"/>
      <c r="F22" s="30"/>
      <c r="G22" s="30"/>
      <c r="H22" s="30"/>
      <c r="I22" s="30"/>
      <c r="J22" s="30"/>
      <c r="K22" s="30"/>
      <c r="L22" s="30"/>
      <c r="M22" s="30"/>
    </row>
    <row r="23" spans="2:13" x14ac:dyDescent="0.25">
      <c r="B23" s="30"/>
      <c r="C23" s="30"/>
      <c r="D23" s="30"/>
      <c r="E23" s="30"/>
      <c r="F23" s="30"/>
      <c r="G23" s="30"/>
      <c r="H23" s="30"/>
      <c r="I23" s="30"/>
      <c r="J23" s="30"/>
      <c r="K23" s="30"/>
      <c r="L23" s="30"/>
      <c r="M23" s="30"/>
    </row>
    <row r="24" spans="2:13" x14ac:dyDescent="0.25">
      <c r="B24" s="30"/>
      <c r="C24" s="30"/>
      <c r="D24" s="30"/>
      <c r="E24" s="30"/>
      <c r="F24" s="30"/>
      <c r="G24" s="30"/>
      <c r="H24" s="30"/>
      <c r="I24" s="30"/>
      <c r="J24" s="30"/>
      <c r="K24" s="30"/>
      <c r="L24" s="30"/>
      <c r="M24" s="30"/>
    </row>
    <row r="25" spans="2:13" x14ac:dyDescent="0.25">
      <c r="B25" s="30"/>
      <c r="C25" s="30"/>
      <c r="D25" s="30"/>
      <c r="E25" s="30"/>
      <c r="F25" s="30"/>
      <c r="G25" s="30"/>
      <c r="H25" s="30"/>
      <c r="I25" s="30"/>
      <c r="J25" s="30"/>
      <c r="K25" s="30"/>
      <c r="L25" s="30"/>
      <c r="M25" s="30"/>
    </row>
    <row r="26" spans="2:13" x14ac:dyDescent="0.25">
      <c r="B26" s="30"/>
      <c r="C26" s="30"/>
      <c r="D26" s="30"/>
      <c r="E26" s="30"/>
      <c r="F26" s="30"/>
      <c r="G26" s="30"/>
      <c r="H26" s="30"/>
      <c r="I26" s="30"/>
      <c r="J26" s="30"/>
      <c r="K26" s="30"/>
      <c r="L26" s="30"/>
      <c r="M26" s="30"/>
    </row>
    <row r="27" spans="2:13" x14ac:dyDescent="0.25">
      <c r="B27" s="30"/>
      <c r="C27" s="30"/>
      <c r="D27" s="30"/>
      <c r="E27" s="30"/>
      <c r="F27" s="30"/>
      <c r="G27" s="30"/>
      <c r="H27" s="30"/>
      <c r="I27" s="30"/>
      <c r="J27" s="30"/>
      <c r="K27" s="30"/>
      <c r="L27" s="30"/>
      <c r="M27" s="30"/>
    </row>
    <row r="28" spans="2:13" x14ac:dyDescent="0.25">
      <c r="B28" s="30"/>
      <c r="C28" s="30"/>
      <c r="D28" s="30"/>
      <c r="E28" s="30"/>
      <c r="F28" s="30"/>
      <c r="G28" s="30"/>
      <c r="H28" s="30"/>
      <c r="I28" s="30"/>
      <c r="J28" s="30"/>
      <c r="K28" s="30"/>
      <c r="L28" s="30"/>
      <c r="M28" s="30"/>
    </row>
    <row r="29" spans="2:13" x14ac:dyDescent="0.25">
      <c r="B29" s="30"/>
      <c r="C29" s="30"/>
      <c r="D29" s="30"/>
      <c r="E29" s="30"/>
      <c r="F29" s="30"/>
      <c r="G29" s="30"/>
      <c r="H29" s="30"/>
      <c r="I29" s="30"/>
      <c r="J29" s="30"/>
      <c r="K29" s="30"/>
      <c r="L29" s="30"/>
      <c r="M29" s="30"/>
    </row>
    <row r="30" spans="2:13" x14ac:dyDescent="0.25">
      <c r="B30" s="30"/>
      <c r="C30" s="30"/>
      <c r="D30" s="30"/>
      <c r="E30" s="30"/>
      <c r="F30" s="30"/>
      <c r="G30" s="30"/>
      <c r="H30" s="30"/>
      <c r="I30" s="30"/>
      <c r="J30" s="30"/>
      <c r="K30" s="30"/>
      <c r="L30" s="30"/>
      <c r="M30" s="30"/>
    </row>
    <row r="31" spans="2:13" x14ac:dyDescent="0.25">
      <c r="B31" s="30"/>
      <c r="C31" s="30"/>
      <c r="D31" s="30"/>
      <c r="E31" s="30"/>
      <c r="F31" s="30"/>
      <c r="G31" s="30"/>
      <c r="H31" s="30"/>
      <c r="I31" s="30"/>
      <c r="J31" s="30"/>
      <c r="K31" s="30"/>
      <c r="L31" s="30"/>
      <c r="M31" s="30"/>
    </row>
    <row r="32" spans="2:13" x14ac:dyDescent="0.25">
      <c r="B32" s="30"/>
      <c r="C32" s="30"/>
      <c r="D32" s="30"/>
      <c r="E32" s="30"/>
      <c r="F32" s="30"/>
      <c r="G32" s="30"/>
      <c r="H32" s="30"/>
      <c r="I32" s="30"/>
      <c r="J32" s="30"/>
      <c r="K32" s="30"/>
      <c r="L32" s="30"/>
      <c r="M32" s="30"/>
    </row>
    <row r="33" spans="2:13" x14ac:dyDescent="0.25">
      <c r="B33" s="30"/>
      <c r="C33" s="30"/>
      <c r="D33" s="30"/>
      <c r="E33" s="30"/>
      <c r="F33" s="30"/>
      <c r="G33" s="30"/>
      <c r="H33" s="30"/>
      <c r="I33" s="30"/>
      <c r="J33" s="30"/>
      <c r="K33" s="30"/>
      <c r="L33" s="30"/>
      <c r="M33" s="30"/>
    </row>
    <row r="34" spans="2:13" x14ac:dyDescent="0.25">
      <c r="B34" s="30"/>
      <c r="C34" s="30"/>
      <c r="D34" s="30"/>
      <c r="E34" s="30"/>
      <c r="F34" s="30"/>
      <c r="G34" s="30"/>
      <c r="H34" s="30"/>
      <c r="I34" s="30"/>
      <c r="J34" s="30"/>
      <c r="K34" s="30"/>
      <c r="L34" s="30"/>
      <c r="M34" s="30"/>
    </row>
    <row r="35" spans="2:13" x14ac:dyDescent="0.25">
      <c r="B35" s="30"/>
      <c r="C35" s="30"/>
      <c r="D35" s="30"/>
      <c r="E35" s="30"/>
      <c r="F35" s="30"/>
      <c r="G35" s="30"/>
      <c r="H35" s="30"/>
      <c r="I35" s="30"/>
      <c r="J35" s="30"/>
      <c r="K35" s="30"/>
      <c r="L35" s="30"/>
      <c r="M35" s="30"/>
    </row>
    <row r="36" spans="2:13" x14ac:dyDescent="0.25">
      <c r="B36" s="30"/>
      <c r="C36" s="30"/>
      <c r="D36" s="30"/>
      <c r="E36" s="30"/>
      <c r="F36" s="30"/>
      <c r="G36" s="30"/>
      <c r="H36" s="30"/>
      <c r="I36" s="30"/>
      <c r="J36" s="30"/>
      <c r="K36" s="30"/>
      <c r="L36" s="30"/>
      <c r="M36" s="30"/>
    </row>
    <row r="37" spans="2:13" x14ac:dyDescent="0.25">
      <c r="B37" s="30"/>
      <c r="C37" s="30"/>
      <c r="D37" s="30"/>
      <c r="E37" s="30"/>
      <c r="F37" s="30"/>
      <c r="G37" s="30"/>
      <c r="H37" s="30"/>
      <c r="I37" s="30"/>
      <c r="J37" s="30"/>
      <c r="K37" s="30"/>
      <c r="L37" s="30"/>
      <c r="M37" s="30"/>
    </row>
    <row r="38" spans="2:13" x14ac:dyDescent="0.25">
      <c r="B38" s="30"/>
      <c r="C38" s="30"/>
      <c r="D38" s="30"/>
      <c r="E38" s="30"/>
      <c r="F38" s="30"/>
      <c r="G38" s="30"/>
      <c r="H38" s="30"/>
      <c r="I38" s="30"/>
      <c r="J38" s="30"/>
      <c r="K38" s="30"/>
      <c r="L38" s="30"/>
      <c r="M38" s="30"/>
    </row>
    <row r="39" spans="2:13" x14ac:dyDescent="0.25">
      <c r="B39" s="30"/>
      <c r="C39" s="30"/>
      <c r="D39" s="30"/>
      <c r="E39" s="30"/>
      <c r="F39" s="30"/>
      <c r="G39" s="30"/>
      <c r="H39" s="30"/>
      <c r="I39" s="30"/>
      <c r="J39" s="30"/>
      <c r="K39" s="30"/>
      <c r="L39" s="30"/>
      <c r="M39" s="30"/>
    </row>
    <row r="40" spans="2:13" x14ac:dyDescent="0.25">
      <c r="B40" s="30"/>
      <c r="C40" s="30"/>
      <c r="D40" s="30"/>
      <c r="E40" s="30"/>
      <c r="F40" s="30"/>
      <c r="G40" s="30"/>
      <c r="H40" s="30"/>
      <c r="I40" s="30"/>
      <c r="J40" s="30"/>
      <c r="K40" s="30"/>
      <c r="L40" s="30"/>
      <c r="M40" s="30"/>
    </row>
    <row r="41" spans="2:13" x14ac:dyDescent="0.25">
      <c r="B41" s="30"/>
      <c r="C41" s="30"/>
      <c r="D41" s="30"/>
      <c r="E41" s="30"/>
      <c r="F41" s="30"/>
      <c r="G41" s="30"/>
      <c r="H41" s="30"/>
      <c r="I41" s="30"/>
      <c r="J41" s="30"/>
      <c r="K41" s="30"/>
      <c r="L41" s="30"/>
      <c r="M41" s="30"/>
    </row>
    <row r="42" spans="2:13" x14ac:dyDescent="0.25">
      <c r="B42" s="30"/>
      <c r="C42" s="30"/>
      <c r="D42" s="30"/>
      <c r="E42" s="30"/>
      <c r="F42" s="30"/>
      <c r="G42" s="30"/>
      <c r="H42" s="30"/>
      <c r="I42" s="30"/>
      <c r="J42" s="30"/>
      <c r="K42" s="30"/>
      <c r="L42" s="30"/>
      <c r="M42" s="30"/>
    </row>
    <row r="43" spans="2:13" x14ac:dyDescent="0.25">
      <c r="B43" s="30"/>
      <c r="C43" s="30"/>
      <c r="D43" s="30"/>
      <c r="E43" s="30"/>
      <c r="F43" s="30"/>
      <c r="G43" s="30"/>
      <c r="H43" s="30"/>
      <c r="I43" s="30"/>
      <c r="J43" s="30"/>
      <c r="K43" s="30"/>
      <c r="L43" s="30"/>
      <c r="M43" s="30"/>
    </row>
    <row r="44" spans="2:13" x14ac:dyDescent="0.25">
      <c r="B44" s="30"/>
      <c r="C44" s="30"/>
      <c r="D44" s="30"/>
      <c r="E44" s="30"/>
      <c r="F44" s="30"/>
      <c r="G44" s="30"/>
      <c r="H44" s="30"/>
      <c r="I44" s="30"/>
      <c r="J44" s="30"/>
      <c r="K44" s="30"/>
      <c r="L44" s="30"/>
      <c r="M44" s="30"/>
    </row>
    <row r="45" spans="2:13" x14ac:dyDescent="0.25">
      <c r="B45" s="30"/>
      <c r="C45" s="30"/>
      <c r="D45" s="30"/>
      <c r="E45" s="30"/>
      <c r="F45" s="30"/>
      <c r="G45" s="30"/>
      <c r="H45" s="30"/>
      <c r="I45" s="30"/>
      <c r="J45" s="30"/>
      <c r="K45" s="30"/>
      <c r="L45" s="30"/>
      <c r="M45" s="30"/>
    </row>
    <row r="46" spans="2:13" x14ac:dyDescent="0.25">
      <c r="B46" s="30"/>
      <c r="C46" s="30"/>
      <c r="D46" s="30"/>
      <c r="E46" s="30"/>
      <c r="F46" s="30"/>
      <c r="G46" s="30"/>
      <c r="H46" s="30"/>
      <c r="I46" s="30"/>
      <c r="J46" s="30"/>
      <c r="K46" s="30"/>
      <c r="L46" s="30"/>
      <c r="M46" s="30"/>
    </row>
    <row r="47" spans="2:13" x14ac:dyDescent="0.25">
      <c r="B47" s="30"/>
      <c r="C47" s="30"/>
      <c r="D47" s="30"/>
      <c r="E47" s="30"/>
      <c r="F47" s="30"/>
      <c r="G47" s="30"/>
      <c r="H47" s="30"/>
      <c r="I47" s="30"/>
      <c r="J47" s="30"/>
      <c r="K47" s="30"/>
      <c r="L47" s="30"/>
      <c r="M47" s="30"/>
    </row>
    <row r="48" spans="2:13" x14ac:dyDescent="0.25">
      <c r="B48" s="30"/>
      <c r="C48" s="30"/>
      <c r="D48" s="30"/>
      <c r="E48" s="30"/>
      <c r="F48" s="30"/>
      <c r="G48" s="30"/>
      <c r="H48" s="30"/>
      <c r="I48" s="30"/>
      <c r="J48" s="30"/>
      <c r="K48" s="30"/>
      <c r="L48" s="30"/>
      <c r="M48" s="30"/>
    </row>
    <row r="49" spans="2:13" x14ac:dyDescent="0.25">
      <c r="B49" s="30"/>
      <c r="C49" s="30"/>
      <c r="D49" s="30"/>
      <c r="E49" s="30"/>
      <c r="F49" s="30"/>
      <c r="G49" s="30"/>
      <c r="H49" s="30"/>
      <c r="I49" s="30"/>
      <c r="J49" s="30"/>
      <c r="K49" s="30"/>
      <c r="L49" s="30"/>
      <c r="M49" s="30"/>
    </row>
    <row r="50" spans="2:13" x14ac:dyDescent="0.25">
      <c r="B50" s="30"/>
      <c r="C50" s="30"/>
      <c r="D50" s="30"/>
      <c r="E50" s="30"/>
      <c r="F50" s="30"/>
      <c r="G50" s="30"/>
      <c r="H50" s="30"/>
      <c r="I50" s="30"/>
      <c r="J50" s="30"/>
      <c r="K50" s="30"/>
      <c r="L50" s="30"/>
      <c r="M50" s="30"/>
    </row>
    <row r="51" spans="2:13" x14ac:dyDescent="0.25">
      <c r="B51" s="30"/>
      <c r="C51" s="30"/>
      <c r="D51" s="30"/>
      <c r="E51" s="30"/>
      <c r="F51" s="30"/>
      <c r="G51" s="30"/>
      <c r="H51" s="30"/>
      <c r="I51" s="30"/>
      <c r="J51" s="30"/>
      <c r="K51" s="30"/>
      <c r="L51" s="30"/>
      <c r="M51" s="30"/>
    </row>
    <row r="52" spans="2:13" x14ac:dyDescent="0.25">
      <c r="B52" s="30"/>
      <c r="C52" s="30"/>
      <c r="D52" s="30"/>
      <c r="E52" s="30"/>
      <c r="F52" s="30"/>
      <c r="G52" s="30"/>
      <c r="H52" s="30"/>
      <c r="I52" s="30"/>
      <c r="J52" s="30"/>
      <c r="K52" s="30"/>
      <c r="L52" s="30"/>
      <c r="M52" s="30"/>
    </row>
    <row r="53" spans="2:13" x14ac:dyDescent="0.25">
      <c r="B53" s="30"/>
      <c r="C53" s="30"/>
      <c r="D53" s="30"/>
      <c r="E53" s="30"/>
      <c r="F53" s="30"/>
      <c r="G53" s="30"/>
      <c r="H53" s="30"/>
      <c r="I53" s="30"/>
      <c r="J53" s="30"/>
      <c r="K53" s="30"/>
      <c r="L53" s="30"/>
      <c r="M53" s="30"/>
    </row>
    <row r="54" spans="2:13" x14ac:dyDescent="0.25">
      <c r="B54" s="30"/>
      <c r="C54" s="30"/>
      <c r="D54" s="30"/>
      <c r="E54" s="30"/>
      <c r="F54" s="30"/>
      <c r="G54" s="30"/>
      <c r="H54" s="30"/>
      <c r="I54" s="30"/>
      <c r="J54" s="30"/>
      <c r="K54" s="30"/>
      <c r="L54" s="30"/>
      <c r="M54" s="30"/>
    </row>
    <row r="55" spans="2:13" x14ac:dyDescent="0.25">
      <c r="B55" s="30"/>
      <c r="C55" s="30"/>
      <c r="D55" s="30"/>
      <c r="E55" s="30"/>
      <c r="F55" s="30"/>
      <c r="G55" s="30"/>
      <c r="H55" s="30"/>
      <c r="I55" s="30"/>
      <c r="J55" s="30"/>
      <c r="K55" s="30"/>
      <c r="L55" s="30"/>
      <c r="M55" s="30"/>
    </row>
    <row r="56" spans="2:13" x14ac:dyDescent="0.25">
      <c r="B56" s="30"/>
      <c r="C56" s="30"/>
      <c r="D56" s="30"/>
      <c r="E56" s="30"/>
      <c r="F56" s="30"/>
      <c r="G56" s="30"/>
      <c r="H56" s="30"/>
      <c r="I56" s="30"/>
      <c r="J56" s="30"/>
      <c r="K56" s="30"/>
      <c r="L56" s="30"/>
      <c r="M56" s="30"/>
    </row>
    <row r="57" spans="2:13" x14ac:dyDescent="0.25">
      <c r="B57" s="30"/>
      <c r="C57" s="30"/>
      <c r="D57" s="30"/>
      <c r="E57" s="30"/>
      <c r="F57" s="30"/>
      <c r="G57" s="30"/>
      <c r="H57" s="30"/>
      <c r="I57" s="30"/>
      <c r="J57" s="30"/>
      <c r="K57" s="30"/>
      <c r="L57" s="30"/>
      <c r="M57" s="30"/>
    </row>
    <row r="58" spans="2:13" x14ac:dyDescent="0.25">
      <c r="B58" s="30"/>
      <c r="C58" s="30"/>
      <c r="D58" s="30"/>
      <c r="E58" s="30"/>
      <c r="F58" s="30"/>
      <c r="G58" s="30"/>
      <c r="H58" s="30"/>
      <c r="I58" s="30"/>
      <c r="J58" s="30"/>
      <c r="K58" s="30"/>
      <c r="L58" s="30"/>
      <c r="M58" s="30"/>
    </row>
    <row r="59" spans="2:13" x14ac:dyDescent="0.25">
      <c r="B59" s="30"/>
      <c r="C59" s="30"/>
      <c r="D59" s="30"/>
      <c r="E59" s="30"/>
      <c r="F59" s="30"/>
      <c r="G59" s="30"/>
      <c r="H59" s="30"/>
      <c r="I59" s="30"/>
      <c r="J59" s="30"/>
      <c r="K59" s="30"/>
      <c r="L59" s="30"/>
      <c r="M59" s="30"/>
    </row>
    <row r="60" spans="2:13" x14ac:dyDescent="0.25">
      <c r="B60" s="30"/>
      <c r="C60" s="30"/>
      <c r="D60" s="30"/>
      <c r="E60" s="30"/>
      <c r="F60" s="30"/>
      <c r="G60" s="30"/>
      <c r="H60" s="30"/>
      <c r="I60" s="30"/>
      <c r="J60" s="30"/>
      <c r="K60" s="30"/>
      <c r="L60" s="30"/>
      <c r="M60" s="30"/>
    </row>
    <row r="61" spans="2:13" x14ac:dyDescent="0.25">
      <c r="B61" s="30"/>
      <c r="C61" s="30"/>
      <c r="D61" s="30"/>
      <c r="E61" s="30"/>
      <c r="F61" s="30"/>
      <c r="G61" s="30"/>
      <c r="H61" s="30"/>
      <c r="I61" s="30"/>
      <c r="J61" s="30"/>
      <c r="K61" s="30"/>
      <c r="L61" s="30"/>
      <c r="M61" s="30"/>
    </row>
    <row r="62" spans="2:13" x14ac:dyDescent="0.25">
      <c r="B62" s="30"/>
      <c r="C62" s="30"/>
      <c r="D62" s="30"/>
      <c r="E62" s="30"/>
      <c r="F62" s="30"/>
      <c r="G62" s="30"/>
      <c r="H62" s="30"/>
      <c r="I62" s="30"/>
      <c r="J62" s="30"/>
      <c r="K62" s="30"/>
      <c r="L62" s="30"/>
      <c r="M62" s="30"/>
    </row>
    <row r="63" spans="2:13" x14ac:dyDescent="0.25">
      <c r="B63" s="30"/>
      <c r="C63" s="30"/>
      <c r="D63" s="30"/>
      <c r="E63" s="30"/>
      <c r="F63" s="30"/>
      <c r="G63" s="30"/>
      <c r="H63" s="30"/>
      <c r="I63" s="30"/>
      <c r="J63" s="30"/>
      <c r="K63" s="30"/>
      <c r="L63" s="30"/>
      <c r="M63" s="30"/>
    </row>
    <row r="64" spans="2:13" x14ac:dyDescent="0.25">
      <c r="B64" s="30"/>
      <c r="C64" s="30"/>
      <c r="D64" s="30"/>
      <c r="E64" s="30"/>
      <c r="F64" s="30"/>
      <c r="G64" s="30"/>
      <c r="H64" s="30"/>
      <c r="I64" s="30"/>
      <c r="J64" s="30"/>
      <c r="K64" s="30"/>
      <c r="L64" s="30"/>
      <c r="M64" s="30"/>
    </row>
    <row r="65" spans="2:13" x14ac:dyDescent="0.25">
      <c r="B65" s="30"/>
      <c r="C65" s="30"/>
      <c r="D65" s="30"/>
      <c r="E65" s="30"/>
      <c r="F65" s="30"/>
      <c r="G65" s="30"/>
      <c r="H65" s="30"/>
      <c r="I65" s="30"/>
      <c r="J65" s="30"/>
      <c r="K65" s="30"/>
      <c r="L65" s="30"/>
      <c r="M65" s="30"/>
    </row>
    <row r="66" spans="2:13" x14ac:dyDescent="0.25">
      <c r="B66" s="30"/>
      <c r="C66" s="30"/>
      <c r="D66" s="30"/>
      <c r="E66" s="30"/>
      <c r="F66" s="30"/>
      <c r="G66" s="30"/>
      <c r="H66" s="30"/>
      <c r="I66" s="30"/>
      <c r="J66" s="30"/>
      <c r="K66" s="30"/>
      <c r="L66" s="30"/>
      <c r="M66" s="30"/>
    </row>
    <row r="67" spans="2:13" x14ac:dyDescent="0.25">
      <c r="B67" s="30"/>
      <c r="C67" s="30"/>
      <c r="D67" s="30"/>
      <c r="E67" s="30"/>
      <c r="F67" s="30"/>
      <c r="G67" s="30"/>
      <c r="H67" s="30"/>
      <c r="I67" s="30"/>
      <c r="J67" s="30"/>
      <c r="K67" s="30"/>
      <c r="L67" s="30"/>
      <c r="M67" s="30"/>
    </row>
    <row r="68" spans="2:13" x14ac:dyDescent="0.25">
      <c r="B68" s="30"/>
      <c r="C68" s="30"/>
      <c r="D68" s="30"/>
      <c r="E68" s="30"/>
      <c r="F68" s="30"/>
      <c r="G68" s="30"/>
      <c r="H68" s="30"/>
      <c r="I68" s="30"/>
      <c r="J68" s="30"/>
      <c r="K68" s="30"/>
      <c r="L68" s="30"/>
      <c r="M68" s="30"/>
    </row>
    <row r="69" spans="2:13" x14ac:dyDescent="0.25">
      <c r="B69" s="30"/>
      <c r="C69" s="30"/>
      <c r="D69" s="30"/>
      <c r="E69" s="30"/>
      <c r="F69" s="30"/>
      <c r="G69" s="30"/>
      <c r="H69" s="30"/>
      <c r="I69" s="30"/>
      <c r="J69" s="30"/>
      <c r="K69" s="30"/>
      <c r="L69" s="30"/>
      <c r="M69" s="30"/>
    </row>
    <row r="70" spans="2:13" x14ac:dyDescent="0.25">
      <c r="B70" s="30"/>
      <c r="C70" s="30"/>
      <c r="D70" s="30"/>
      <c r="E70" s="30"/>
      <c r="F70" s="30"/>
      <c r="G70" s="30"/>
      <c r="H70" s="30"/>
      <c r="I70" s="30"/>
      <c r="J70" s="30"/>
      <c r="K70" s="30"/>
      <c r="L70" s="30"/>
      <c r="M70" s="30"/>
    </row>
    <row r="71" spans="2:13" x14ac:dyDescent="0.25">
      <c r="B71" s="30"/>
      <c r="C71" s="30"/>
      <c r="D71" s="30"/>
      <c r="E71" s="30"/>
      <c r="F71" s="30"/>
      <c r="G71" s="30"/>
      <c r="H71" s="30"/>
      <c r="I71" s="30"/>
      <c r="J71" s="30"/>
      <c r="K71" s="30"/>
      <c r="L71" s="30"/>
      <c r="M71" s="30"/>
    </row>
    <row r="72" spans="2:13" x14ac:dyDescent="0.25">
      <c r="B72" s="30"/>
      <c r="C72" s="30"/>
      <c r="D72" s="30"/>
      <c r="E72" s="30"/>
      <c r="F72" s="30"/>
      <c r="G72" s="30"/>
      <c r="H72" s="30"/>
      <c r="I72" s="30"/>
      <c r="J72" s="30"/>
      <c r="K72" s="30"/>
      <c r="L72" s="30"/>
      <c r="M72" s="30"/>
    </row>
    <row r="73" spans="2:13" x14ac:dyDescent="0.25">
      <c r="B73" s="30"/>
      <c r="C73" s="30"/>
      <c r="D73" s="30"/>
      <c r="E73" s="30"/>
      <c r="F73" s="30"/>
      <c r="G73" s="30"/>
      <c r="H73" s="30"/>
      <c r="I73" s="30"/>
      <c r="J73" s="30"/>
      <c r="K73" s="30"/>
      <c r="L73" s="30"/>
      <c r="M73" s="30"/>
    </row>
    <row r="74" spans="2:13" x14ac:dyDescent="0.25">
      <c r="B74" s="30"/>
      <c r="C74" s="30"/>
      <c r="D74" s="30"/>
      <c r="E74" s="30"/>
      <c r="F74" s="30"/>
      <c r="G74" s="30"/>
      <c r="H74" s="30"/>
      <c r="I74" s="30"/>
      <c r="J74" s="30"/>
      <c r="K74" s="30"/>
      <c r="L74" s="30"/>
      <c r="M74" s="30"/>
    </row>
    <row r="75" spans="2:13" x14ac:dyDescent="0.25">
      <c r="B75" s="30"/>
      <c r="C75" s="30"/>
      <c r="D75" s="30"/>
      <c r="E75" s="30"/>
      <c r="F75" s="30"/>
      <c r="G75" s="30"/>
      <c r="H75" s="30"/>
      <c r="I75" s="30"/>
      <c r="J75" s="30"/>
      <c r="K75" s="30"/>
      <c r="L75" s="30"/>
      <c r="M75" s="30"/>
    </row>
    <row r="76" spans="2:13" x14ac:dyDescent="0.25">
      <c r="B76" s="30"/>
      <c r="C76" s="30"/>
      <c r="D76" s="30"/>
      <c r="E76" s="30"/>
      <c r="F76" s="30"/>
      <c r="G76" s="30"/>
      <c r="H76" s="30"/>
      <c r="I76" s="30"/>
      <c r="J76" s="30"/>
      <c r="K76" s="30"/>
      <c r="L76" s="30"/>
      <c r="M76" s="30"/>
    </row>
    <row r="77" spans="2:13" x14ac:dyDescent="0.25">
      <c r="B77" s="30"/>
      <c r="C77" s="30"/>
      <c r="D77" s="30"/>
      <c r="E77" s="30"/>
      <c r="F77" s="30"/>
      <c r="G77" s="30"/>
      <c r="H77" s="30"/>
      <c r="I77" s="30"/>
      <c r="J77" s="30"/>
      <c r="K77" s="30"/>
      <c r="L77" s="30"/>
      <c r="M77" s="30"/>
    </row>
    <row r="78" spans="2:13" x14ac:dyDescent="0.25">
      <c r="B78" s="30"/>
      <c r="C78" s="30"/>
      <c r="D78" s="30"/>
      <c r="E78" s="30"/>
      <c r="F78" s="30"/>
      <c r="G78" s="30"/>
      <c r="H78" s="30"/>
      <c r="I78" s="30"/>
      <c r="J78" s="30"/>
      <c r="K78" s="30"/>
      <c r="L78" s="30"/>
      <c r="M78" s="30"/>
    </row>
    <row r="79" spans="2:13" x14ac:dyDescent="0.25">
      <c r="B79" s="30"/>
      <c r="C79" s="30"/>
      <c r="D79" s="30"/>
      <c r="E79" s="30"/>
      <c r="F79" s="30"/>
      <c r="G79" s="30"/>
      <c r="H79" s="30"/>
      <c r="I79" s="30"/>
      <c r="J79" s="30"/>
      <c r="K79" s="30"/>
      <c r="L79" s="30"/>
      <c r="M79" s="30"/>
    </row>
    <row r="80" spans="2:13" x14ac:dyDescent="0.25">
      <c r="B80" s="30"/>
      <c r="C80" s="30"/>
      <c r="D80" s="30"/>
      <c r="E80" s="30"/>
      <c r="F80" s="30"/>
      <c r="G80" s="30"/>
      <c r="H80" s="30"/>
      <c r="I80" s="30"/>
      <c r="J80" s="30"/>
      <c r="K80" s="30"/>
      <c r="L80" s="30"/>
      <c r="M80" s="30"/>
    </row>
    <row r="81" spans="2:13" x14ac:dyDescent="0.25">
      <c r="B81" s="30"/>
      <c r="C81" s="30"/>
      <c r="D81" s="30"/>
      <c r="E81" s="30"/>
      <c r="F81" s="30"/>
      <c r="G81" s="30"/>
      <c r="H81" s="30"/>
      <c r="I81" s="30"/>
      <c r="J81" s="30"/>
      <c r="K81" s="30"/>
      <c r="L81" s="30"/>
      <c r="M81" s="30"/>
    </row>
    <row r="82" spans="2:13" x14ac:dyDescent="0.25">
      <c r="B82" s="30"/>
      <c r="C82" s="30"/>
      <c r="D82" s="30"/>
      <c r="E82" s="30"/>
      <c r="F82" s="30"/>
      <c r="G82" s="30"/>
      <c r="H82" s="30"/>
      <c r="I82" s="30"/>
      <c r="J82" s="30"/>
      <c r="K82" s="30"/>
      <c r="L82" s="30"/>
      <c r="M82" s="30"/>
    </row>
    <row r="83" spans="2:13" x14ac:dyDescent="0.25">
      <c r="B83" s="30"/>
      <c r="C83" s="30"/>
      <c r="D83" s="30"/>
      <c r="E83" s="30"/>
      <c r="F83" s="30"/>
      <c r="G83" s="30"/>
      <c r="H83" s="30"/>
      <c r="I83" s="30"/>
      <c r="J83" s="30"/>
      <c r="K83" s="30"/>
      <c r="L83" s="30"/>
      <c r="M83" s="30"/>
    </row>
    <row r="84" spans="2:13" x14ac:dyDescent="0.25">
      <c r="B84" s="30"/>
      <c r="C84" s="30"/>
      <c r="D84" s="30"/>
      <c r="E84" s="30"/>
      <c r="F84" s="30"/>
      <c r="G84" s="30"/>
      <c r="H84" s="30"/>
      <c r="I84" s="30"/>
      <c r="J84" s="30"/>
      <c r="K84" s="30"/>
      <c r="L84" s="30"/>
      <c r="M84" s="30"/>
    </row>
    <row r="85" spans="2:13" x14ac:dyDescent="0.25">
      <c r="B85" s="30"/>
      <c r="C85" s="30"/>
      <c r="D85" s="30"/>
      <c r="E85" s="30"/>
      <c r="F85" s="30"/>
      <c r="G85" s="30"/>
      <c r="H85" s="30"/>
      <c r="I85" s="30"/>
      <c r="J85" s="30"/>
      <c r="K85" s="30"/>
      <c r="L85" s="30"/>
      <c r="M85" s="30"/>
    </row>
    <row r="86" spans="2:13" x14ac:dyDescent="0.25">
      <c r="B86" s="30"/>
      <c r="C86" s="30"/>
      <c r="D86" s="30"/>
      <c r="E86" s="30"/>
      <c r="F86" s="30"/>
      <c r="G86" s="30"/>
      <c r="H86" s="30"/>
      <c r="I86" s="30"/>
      <c r="J86" s="30"/>
      <c r="K86" s="30"/>
      <c r="L86" s="30"/>
      <c r="M86" s="30"/>
    </row>
    <row r="87" spans="2:13" x14ac:dyDescent="0.25">
      <c r="B87" s="30"/>
      <c r="C87" s="30"/>
      <c r="D87" s="30"/>
      <c r="E87" s="30"/>
      <c r="F87" s="30"/>
      <c r="G87" s="30"/>
      <c r="H87" s="30"/>
      <c r="I87" s="30"/>
      <c r="J87" s="30"/>
      <c r="K87" s="30"/>
      <c r="L87" s="30"/>
      <c r="M87" s="30"/>
    </row>
    <row r="88" spans="2:13" x14ac:dyDescent="0.25">
      <c r="B88" s="30"/>
      <c r="C88" s="30"/>
      <c r="D88" s="30"/>
      <c r="E88" s="30"/>
      <c r="F88" s="30"/>
      <c r="G88" s="30"/>
      <c r="H88" s="30"/>
      <c r="I88" s="30"/>
      <c r="J88" s="30"/>
      <c r="K88" s="30"/>
      <c r="L88" s="30"/>
      <c r="M88" s="30"/>
    </row>
    <row r="89" spans="2:13" x14ac:dyDescent="0.25">
      <c r="B89" s="30"/>
      <c r="C89" s="30"/>
      <c r="D89" s="30"/>
      <c r="E89" s="30"/>
      <c r="F89" s="30"/>
      <c r="G89" s="30"/>
      <c r="H89" s="30"/>
      <c r="I89" s="30"/>
      <c r="J89" s="30"/>
      <c r="K89" s="30"/>
      <c r="L89" s="30"/>
      <c r="M89" s="30"/>
    </row>
    <row r="90" spans="2:13" x14ac:dyDescent="0.25">
      <c r="B90" s="30"/>
      <c r="C90" s="30"/>
      <c r="D90" s="30"/>
      <c r="E90" s="30"/>
      <c r="F90" s="30"/>
      <c r="G90" s="30"/>
      <c r="H90" s="30"/>
      <c r="I90" s="30"/>
      <c r="J90" s="30"/>
      <c r="K90" s="30"/>
      <c r="L90" s="30"/>
      <c r="M90" s="30"/>
    </row>
    <row r="91" spans="2:13" x14ac:dyDescent="0.25">
      <c r="B91" s="30"/>
      <c r="C91" s="30"/>
      <c r="D91" s="30"/>
      <c r="E91" s="30"/>
      <c r="F91" s="30"/>
      <c r="G91" s="30"/>
      <c r="H91" s="30"/>
      <c r="I91" s="30"/>
      <c r="J91" s="30"/>
      <c r="K91" s="30"/>
      <c r="L91" s="30"/>
      <c r="M91" s="30"/>
    </row>
    <row r="92" spans="2:13" x14ac:dyDescent="0.25">
      <c r="B92" s="30"/>
      <c r="C92" s="30"/>
      <c r="D92" s="30"/>
      <c r="E92" s="30"/>
      <c r="F92" s="30"/>
      <c r="G92" s="30"/>
      <c r="H92" s="30"/>
      <c r="I92" s="30"/>
      <c r="J92" s="30"/>
      <c r="K92" s="30"/>
      <c r="L92" s="30"/>
      <c r="M92" s="30"/>
    </row>
    <row r="93" spans="2:13" x14ac:dyDescent="0.25">
      <c r="B93" s="30"/>
      <c r="C93" s="30"/>
      <c r="D93" s="30"/>
      <c r="E93" s="30"/>
      <c r="F93" s="30"/>
      <c r="G93" s="30"/>
      <c r="H93" s="30"/>
      <c r="I93" s="30"/>
      <c r="J93" s="30"/>
      <c r="K93" s="30"/>
      <c r="L93" s="30"/>
      <c r="M93" s="30"/>
    </row>
    <row r="94" spans="2:13" x14ac:dyDescent="0.25">
      <c r="B94" s="30"/>
      <c r="C94" s="30"/>
      <c r="D94" s="30"/>
      <c r="E94" s="30"/>
      <c r="F94" s="30"/>
      <c r="G94" s="30"/>
      <c r="H94" s="30"/>
      <c r="I94" s="30"/>
      <c r="J94" s="30"/>
      <c r="K94" s="30"/>
      <c r="L94" s="30"/>
      <c r="M94" s="30"/>
    </row>
    <row r="95" spans="2:13" x14ac:dyDescent="0.25">
      <c r="B95" s="30"/>
      <c r="C95" s="30"/>
      <c r="D95" s="30"/>
      <c r="E95" s="30"/>
      <c r="F95" s="30"/>
      <c r="G95" s="30"/>
      <c r="H95" s="30"/>
      <c r="I95" s="30"/>
      <c r="J95" s="30"/>
      <c r="K95" s="30"/>
      <c r="L95" s="30"/>
      <c r="M95" s="30"/>
    </row>
    <row r="96" spans="2:13" x14ac:dyDescent="0.25">
      <c r="B96" s="30"/>
      <c r="C96" s="30"/>
      <c r="D96" s="30"/>
      <c r="E96" s="30"/>
      <c r="F96" s="30"/>
      <c r="G96" s="30"/>
      <c r="H96" s="30"/>
      <c r="I96" s="30"/>
      <c r="J96" s="30"/>
      <c r="K96" s="30"/>
      <c r="L96" s="30"/>
      <c r="M96" s="30"/>
    </row>
    <row r="97" spans="2:13" x14ac:dyDescent="0.25">
      <c r="B97" s="30"/>
      <c r="C97" s="30"/>
      <c r="D97" s="30"/>
      <c r="E97" s="30"/>
      <c r="F97" s="30"/>
      <c r="G97" s="30"/>
      <c r="H97" s="30"/>
      <c r="I97" s="30"/>
      <c r="J97" s="30"/>
      <c r="K97" s="30"/>
      <c r="L97" s="30"/>
      <c r="M97" s="30"/>
    </row>
  </sheetData>
  <sheetProtection algorithmName="SHA-512" hashValue="QYZk6FwtrZ9TBh1Ozsmfm49aUtStb3I8R0RBd7v4GkHgKtu0EMSL5AP2jUc2/LrWCxZ6nmx7Rx7ETO9VOIhayQ==" saltValue="wNa78+NE0mBpujk2mCLhoQ==" spinCount="100000" sheet="1" objects="1" scenarios="1" selectLockedCells="1" selectUnlockedCells="1"/>
  <mergeCells count="8">
    <mergeCell ref="B11:M11"/>
    <mergeCell ref="B3:AE4"/>
    <mergeCell ref="B6:M6"/>
    <mergeCell ref="B7:M7"/>
    <mergeCell ref="B12:M12"/>
    <mergeCell ref="B8:M8"/>
    <mergeCell ref="B9:M9"/>
    <mergeCell ref="B10:M10"/>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C7177-70C0-409F-9622-564B22DCD149}">
  <dimension ref="A3:S134"/>
  <sheetViews>
    <sheetView showRowColHeaders="0" zoomScaleNormal="100" workbookViewId="0">
      <selection activeCell="B51" sqref="B51:M51"/>
    </sheetView>
  </sheetViews>
  <sheetFormatPr defaultColWidth="9.140625" defaultRowHeight="15" x14ac:dyDescent="0.25"/>
  <cols>
    <col min="1" max="2" width="9.140625" style="152"/>
    <col min="3" max="3" width="10.85546875" style="152" customWidth="1"/>
    <col min="4" max="12" width="9.140625" style="152"/>
    <col min="13" max="13" width="11.140625" style="152" customWidth="1"/>
    <col min="14" max="14" width="2" style="152" customWidth="1"/>
    <col min="15" max="16384" width="9.140625" style="152"/>
  </cols>
  <sheetData>
    <row r="3" spans="1:14" ht="12.75" customHeight="1" x14ac:dyDescent="0.25">
      <c r="B3" s="238" t="s">
        <v>14</v>
      </c>
      <c r="C3" s="239"/>
      <c r="D3" s="239"/>
      <c r="E3" s="239"/>
      <c r="F3" s="239"/>
      <c r="G3" s="239"/>
      <c r="H3" s="239"/>
      <c r="I3" s="239"/>
      <c r="J3" s="239"/>
      <c r="K3" s="239"/>
      <c r="L3" s="239"/>
      <c r="M3" s="239"/>
      <c r="N3" s="240"/>
    </row>
    <row r="4" spans="1:14" ht="9.75" customHeight="1" x14ac:dyDescent="0.25">
      <c r="B4" s="238"/>
      <c r="C4" s="239"/>
      <c r="D4" s="239"/>
      <c r="E4" s="239"/>
      <c r="F4" s="239"/>
      <c r="G4" s="239"/>
      <c r="H4" s="239"/>
      <c r="I4" s="239"/>
      <c r="J4" s="239"/>
      <c r="K4" s="239"/>
      <c r="L4" s="239"/>
      <c r="M4" s="239"/>
      <c r="N4" s="240"/>
    </row>
    <row r="5" spans="1:14" ht="15.75" customHeight="1" thickBot="1" x14ac:dyDescent="0.3">
      <c r="B5" s="238"/>
      <c r="C5" s="239"/>
      <c r="D5" s="239"/>
      <c r="E5" s="239"/>
      <c r="F5" s="239"/>
      <c r="G5" s="239"/>
      <c r="H5" s="239"/>
      <c r="I5" s="239"/>
      <c r="J5" s="239"/>
      <c r="K5" s="239"/>
      <c r="L5" s="239"/>
      <c r="M5" s="239"/>
      <c r="N5" s="240"/>
    </row>
    <row r="6" spans="1:14" ht="15.75" thickTop="1" x14ac:dyDescent="0.25">
      <c r="B6" s="125"/>
      <c r="C6" s="126"/>
      <c r="D6" s="126"/>
      <c r="E6" s="126"/>
      <c r="F6" s="126"/>
      <c r="G6" s="126"/>
      <c r="H6" s="126"/>
      <c r="I6" s="126"/>
      <c r="J6" s="126"/>
      <c r="K6" s="126"/>
      <c r="L6" s="126"/>
      <c r="M6" s="126"/>
      <c r="N6" s="151"/>
    </row>
    <row r="7" spans="1:14" x14ac:dyDescent="0.25">
      <c r="A7" s="153"/>
      <c r="B7" s="261" t="s">
        <v>15</v>
      </c>
      <c r="C7" s="262"/>
      <c r="D7" s="262"/>
      <c r="E7" s="262"/>
      <c r="F7" s="262"/>
      <c r="G7" s="262"/>
      <c r="H7" s="262"/>
      <c r="I7" s="262"/>
      <c r="J7" s="262"/>
      <c r="K7" s="262"/>
      <c r="L7" s="262"/>
      <c r="M7" s="262"/>
      <c r="N7" s="124"/>
    </row>
    <row r="8" spans="1:14" x14ac:dyDescent="0.25">
      <c r="B8" s="128"/>
      <c r="C8" s="127"/>
      <c r="D8" s="127"/>
      <c r="E8" s="127"/>
      <c r="F8" s="127"/>
      <c r="G8" s="127"/>
      <c r="H8" s="127"/>
      <c r="I8" s="127"/>
      <c r="J8" s="127"/>
      <c r="K8" s="127"/>
      <c r="L8" s="127"/>
      <c r="M8" s="127"/>
      <c r="N8" s="124"/>
    </row>
    <row r="9" spans="1:14" x14ac:dyDescent="0.25">
      <c r="B9" s="128"/>
      <c r="C9" s="127"/>
      <c r="D9" s="127"/>
      <c r="E9" s="127"/>
      <c r="F9" s="127"/>
      <c r="G9" s="127"/>
      <c r="H9" s="127"/>
      <c r="I9" s="127"/>
      <c r="J9" s="127"/>
      <c r="K9" s="127"/>
      <c r="L9" s="127"/>
      <c r="M9" s="127"/>
      <c r="N9" s="124"/>
    </row>
    <row r="10" spans="1:14" x14ac:dyDescent="0.25">
      <c r="B10" s="128"/>
      <c r="C10" s="127"/>
      <c r="D10" s="127"/>
      <c r="E10" s="127"/>
      <c r="F10" s="127"/>
      <c r="G10" s="127"/>
      <c r="H10" s="127"/>
      <c r="I10" s="127"/>
      <c r="J10" s="127"/>
      <c r="K10" s="127"/>
      <c r="L10" s="127"/>
      <c r="M10" s="127"/>
      <c r="N10" s="124"/>
    </row>
    <row r="11" spans="1:14" x14ac:dyDescent="0.25">
      <c r="B11" s="128"/>
      <c r="C11" s="127"/>
      <c r="D11" s="127"/>
      <c r="E11" s="127"/>
      <c r="F11" s="127"/>
      <c r="G11" s="127"/>
      <c r="H11" s="127"/>
      <c r="I11" s="127"/>
      <c r="J11" s="127"/>
      <c r="K11" s="127"/>
      <c r="L11" s="127"/>
      <c r="M11" s="127"/>
      <c r="N11" s="124"/>
    </row>
    <row r="12" spans="1:14" x14ac:dyDescent="0.25">
      <c r="B12" s="128"/>
      <c r="C12" s="127"/>
      <c r="D12" s="127"/>
      <c r="E12" s="127"/>
      <c r="F12" s="127"/>
      <c r="G12" s="127"/>
      <c r="H12" s="127"/>
      <c r="I12" s="127"/>
      <c r="J12" s="127"/>
      <c r="K12" s="127"/>
      <c r="L12" s="127"/>
      <c r="M12" s="127"/>
      <c r="N12" s="124"/>
    </row>
    <row r="13" spans="1:14" x14ac:dyDescent="0.25">
      <c r="B13" s="128"/>
      <c r="C13" s="127"/>
      <c r="D13" s="127"/>
      <c r="E13" s="127"/>
      <c r="F13" s="127"/>
      <c r="G13" s="127"/>
      <c r="H13" s="127"/>
      <c r="I13" s="127"/>
      <c r="J13" s="127"/>
      <c r="K13" s="127"/>
      <c r="L13" s="127"/>
      <c r="M13" s="127"/>
      <c r="N13" s="124"/>
    </row>
    <row r="14" spans="1:14" x14ac:dyDescent="0.25">
      <c r="B14" s="128"/>
      <c r="C14" s="127"/>
      <c r="D14" s="127"/>
      <c r="E14" s="127"/>
      <c r="F14" s="127"/>
      <c r="G14" s="127"/>
      <c r="H14" s="127"/>
      <c r="I14" s="127"/>
      <c r="J14" s="127"/>
      <c r="K14" s="127"/>
      <c r="L14" s="127"/>
      <c r="M14" s="127"/>
      <c r="N14" s="124"/>
    </row>
    <row r="15" spans="1:14" x14ac:dyDescent="0.25">
      <c r="B15" s="128"/>
      <c r="C15" s="127"/>
      <c r="D15" s="127"/>
      <c r="E15" s="127"/>
      <c r="F15" s="127"/>
      <c r="G15" s="127"/>
      <c r="H15" s="127"/>
      <c r="I15" s="127"/>
      <c r="J15" s="127"/>
      <c r="K15" s="127"/>
      <c r="L15" s="127"/>
      <c r="M15" s="127"/>
      <c r="N15" s="124"/>
    </row>
    <row r="16" spans="1:14" x14ac:dyDescent="0.25">
      <c r="B16" s="128"/>
      <c r="C16" s="127"/>
      <c r="D16" s="127"/>
      <c r="E16" s="127"/>
      <c r="F16" s="127"/>
      <c r="G16" s="127"/>
      <c r="H16" s="127"/>
      <c r="I16" s="127"/>
      <c r="J16" s="127"/>
      <c r="K16" s="127"/>
      <c r="L16" s="127"/>
      <c r="M16" s="127"/>
      <c r="N16" s="124"/>
    </row>
    <row r="17" spans="1:19" x14ac:dyDescent="0.25">
      <c r="B17" s="128"/>
      <c r="C17" s="127"/>
      <c r="D17" s="127"/>
      <c r="E17" s="127"/>
      <c r="F17" s="127"/>
      <c r="G17" s="127"/>
      <c r="H17" s="127"/>
      <c r="I17" s="127"/>
      <c r="J17" s="127"/>
      <c r="K17" s="127"/>
      <c r="L17" s="127"/>
      <c r="M17" s="127"/>
      <c r="N17" s="124"/>
    </row>
    <row r="18" spans="1:19" x14ac:dyDescent="0.25">
      <c r="B18" s="128"/>
      <c r="C18" s="127"/>
      <c r="D18" s="127"/>
      <c r="E18" s="127"/>
      <c r="F18" s="127"/>
      <c r="G18" s="127"/>
      <c r="H18" s="127"/>
      <c r="I18" s="127"/>
      <c r="J18" s="127"/>
      <c r="K18" s="127"/>
      <c r="L18" s="127"/>
      <c r="M18" s="127"/>
      <c r="N18" s="124"/>
    </row>
    <row r="19" spans="1:19" x14ac:dyDescent="0.25">
      <c r="B19" s="128"/>
      <c r="C19" s="127"/>
      <c r="D19" s="127"/>
      <c r="E19" s="127"/>
      <c r="F19" s="127"/>
      <c r="G19" s="127"/>
      <c r="H19" s="127"/>
      <c r="I19" s="127"/>
      <c r="J19" s="127"/>
      <c r="K19" s="127"/>
      <c r="L19" s="127"/>
      <c r="M19" s="127"/>
      <c r="N19" s="124"/>
    </row>
    <row r="20" spans="1:19" ht="18" x14ac:dyDescent="0.25">
      <c r="A20" s="153"/>
      <c r="B20" s="129" t="s">
        <v>16</v>
      </c>
      <c r="C20" s="127"/>
      <c r="D20" s="127"/>
      <c r="E20" s="127"/>
      <c r="F20" s="127"/>
      <c r="G20" s="127"/>
      <c r="H20" s="127"/>
      <c r="I20" s="127"/>
      <c r="J20" s="127"/>
      <c r="K20" s="127"/>
      <c r="L20" s="127"/>
      <c r="M20" s="127"/>
      <c r="N20" s="124"/>
    </row>
    <row r="21" spans="1:19" x14ac:dyDescent="0.25">
      <c r="B21" s="128"/>
      <c r="C21" s="127"/>
      <c r="D21" s="127"/>
      <c r="E21" s="127"/>
      <c r="F21" s="127"/>
      <c r="G21" s="127"/>
      <c r="H21" s="127"/>
      <c r="I21" s="127"/>
      <c r="J21" s="127"/>
      <c r="K21" s="127"/>
      <c r="L21" s="127"/>
      <c r="M21" s="127"/>
      <c r="N21" s="124"/>
    </row>
    <row r="22" spans="1:19" x14ac:dyDescent="0.25">
      <c r="B22" s="128"/>
      <c r="C22" s="141" t="s">
        <v>17</v>
      </c>
      <c r="D22" s="127"/>
      <c r="E22" s="127"/>
      <c r="F22" s="127"/>
      <c r="G22" s="127"/>
      <c r="H22" s="127"/>
      <c r="I22" s="127"/>
      <c r="J22" s="127"/>
      <c r="K22" s="127"/>
      <c r="L22" s="127"/>
      <c r="M22" s="127"/>
      <c r="N22" s="124"/>
    </row>
    <row r="23" spans="1:19" x14ac:dyDescent="0.25">
      <c r="B23" s="128"/>
      <c r="C23" s="130"/>
      <c r="D23" s="142" t="s">
        <v>18</v>
      </c>
      <c r="E23" s="127"/>
      <c r="F23" s="127"/>
      <c r="G23" s="127"/>
      <c r="H23" s="127"/>
      <c r="I23" s="127"/>
      <c r="J23" s="127"/>
      <c r="K23" s="127"/>
      <c r="L23" s="127"/>
      <c r="M23" s="127"/>
      <c r="N23" s="124"/>
    </row>
    <row r="24" spans="1:19" x14ac:dyDescent="0.25">
      <c r="B24" s="128"/>
      <c r="C24" s="132"/>
      <c r="D24" s="142" t="s">
        <v>19</v>
      </c>
      <c r="E24" s="127"/>
      <c r="F24" s="127"/>
      <c r="G24" s="127"/>
      <c r="H24" s="127"/>
      <c r="I24" s="127"/>
      <c r="J24" s="127"/>
      <c r="K24" s="127"/>
      <c r="L24" s="127"/>
      <c r="M24" s="127"/>
      <c r="N24" s="124"/>
    </row>
    <row r="25" spans="1:19" ht="16.5" x14ac:dyDescent="0.3">
      <c r="B25" s="128"/>
      <c r="C25" s="133"/>
      <c r="D25" s="142" t="s">
        <v>20</v>
      </c>
      <c r="E25" s="127"/>
      <c r="F25" s="127"/>
      <c r="G25" s="127"/>
      <c r="H25" s="127"/>
      <c r="I25" s="127"/>
      <c r="J25" s="127"/>
      <c r="K25" s="127"/>
      <c r="L25" s="127"/>
      <c r="M25" s="127"/>
      <c r="N25" s="124"/>
      <c r="S25" s="157"/>
    </row>
    <row r="26" spans="1:19" ht="16.5" x14ac:dyDescent="0.3">
      <c r="B26" s="128"/>
      <c r="C26" s="127"/>
      <c r="D26" s="127"/>
      <c r="E26" s="127"/>
      <c r="F26" s="127"/>
      <c r="G26" s="127"/>
      <c r="H26" s="127"/>
      <c r="I26" s="127"/>
      <c r="J26" s="127"/>
      <c r="K26" s="127"/>
      <c r="L26" s="127"/>
      <c r="M26" s="127"/>
      <c r="N26" s="124"/>
      <c r="S26" s="158"/>
    </row>
    <row r="27" spans="1:19" ht="16.5" x14ac:dyDescent="0.3">
      <c r="A27" s="153"/>
      <c r="B27" s="261" t="s">
        <v>21</v>
      </c>
      <c r="C27" s="262"/>
      <c r="D27" s="262"/>
      <c r="E27" s="262"/>
      <c r="F27" s="262"/>
      <c r="G27" s="262"/>
      <c r="H27" s="262"/>
      <c r="I27" s="262"/>
      <c r="J27" s="262"/>
      <c r="K27" s="262"/>
      <c r="L27" s="262"/>
      <c r="M27" s="262"/>
      <c r="N27" s="124"/>
      <c r="S27" s="157"/>
    </row>
    <row r="28" spans="1:19" ht="9.75" customHeight="1" x14ac:dyDescent="0.3">
      <c r="B28" s="128"/>
      <c r="C28" s="127"/>
      <c r="D28" s="127"/>
      <c r="E28" s="127"/>
      <c r="F28" s="127"/>
      <c r="G28" s="127"/>
      <c r="H28" s="127"/>
      <c r="I28" s="127"/>
      <c r="J28" s="127"/>
      <c r="K28" s="127"/>
      <c r="L28" s="127"/>
      <c r="M28" s="127"/>
      <c r="N28" s="124"/>
      <c r="S28" s="157"/>
    </row>
    <row r="29" spans="1:19" x14ac:dyDescent="0.25">
      <c r="B29" s="128"/>
      <c r="C29" s="127"/>
      <c r="D29" s="127"/>
      <c r="E29" s="127"/>
      <c r="F29" s="127"/>
      <c r="G29" s="127"/>
      <c r="H29" s="127"/>
      <c r="I29" s="127"/>
      <c r="J29" s="127"/>
      <c r="K29" s="127"/>
      <c r="L29" s="127"/>
      <c r="M29" s="127"/>
      <c r="N29" s="124"/>
    </row>
    <row r="30" spans="1:19" x14ac:dyDescent="0.25">
      <c r="B30" s="128"/>
      <c r="C30" s="127"/>
      <c r="D30" s="127"/>
      <c r="E30" s="127"/>
      <c r="F30" s="127"/>
      <c r="G30" s="127"/>
      <c r="H30" s="127"/>
      <c r="I30" s="127"/>
      <c r="J30" s="127"/>
      <c r="K30" s="127"/>
      <c r="L30" s="127"/>
      <c r="M30" s="127"/>
      <c r="N30" s="124"/>
    </row>
    <row r="31" spans="1:19" x14ac:dyDescent="0.25">
      <c r="B31" s="128"/>
      <c r="C31" s="127"/>
      <c r="D31" s="127"/>
      <c r="E31" s="127"/>
      <c r="F31" s="127"/>
      <c r="G31" s="127"/>
      <c r="H31" s="127"/>
      <c r="I31" s="127"/>
      <c r="J31" s="127"/>
      <c r="K31" s="127"/>
      <c r="L31" s="127"/>
      <c r="M31" s="127"/>
      <c r="N31" s="124"/>
    </row>
    <row r="32" spans="1:19" x14ac:dyDescent="0.25">
      <c r="B32" s="128"/>
      <c r="C32" s="127"/>
      <c r="D32" s="127"/>
      <c r="E32" s="127"/>
      <c r="F32" s="127"/>
      <c r="G32" s="127"/>
      <c r="H32" s="127"/>
      <c r="I32" s="127"/>
      <c r="J32" s="127"/>
      <c r="K32" s="127"/>
      <c r="L32" s="127"/>
      <c r="M32" s="127"/>
      <c r="N32" s="124"/>
    </row>
    <row r="33" spans="1:14" x14ac:dyDescent="0.25">
      <c r="B33" s="128"/>
      <c r="C33" s="127"/>
      <c r="D33" s="127"/>
      <c r="E33" s="127"/>
      <c r="F33" s="127"/>
      <c r="G33" s="127"/>
      <c r="H33" s="127"/>
      <c r="I33" s="127"/>
      <c r="J33" s="127"/>
      <c r="K33" s="127"/>
      <c r="L33" s="127"/>
      <c r="M33" s="127"/>
      <c r="N33" s="124"/>
    </row>
    <row r="34" spans="1:14" x14ac:dyDescent="0.25">
      <c r="B34" s="128"/>
      <c r="C34" s="127"/>
      <c r="D34" s="127"/>
      <c r="E34" s="127"/>
      <c r="F34" s="127"/>
      <c r="G34" s="127"/>
      <c r="H34" s="127"/>
      <c r="I34" s="127"/>
      <c r="J34" s="127"/>
      <c r="K34" s="127"/>
      <c r="L34" s="127"/>
      <c r="M34" s="127"/>
      <c r="N34" s="124"/>
    </row>
    <row r="35" spans="1:14" x14ac:dyDescent="0.25">
      <c r="B35" s="128"/>
      <c r="C35" s="127"/>
      <c r="D35" s="127"/>
      <c r="E35" s="127"/>
      <c r="F35" s="127"/>
      <c r="G35" s="127"/>
      <c r="H35" s="127"/>
      <c r="I35" s="127"/>
      <c r="J35" s="127"/>
      <c r="K35" s="127"/>
      <c r="L35" s="127"/>
      <c r="M35" s="127"/>
      <c r="N35" s="124"/>
    </row>
    <row r="36" spans="1:14" ht="42.75" customHeight="1" x14ac:dyDescent="0.25">
      <c r="B36" s="128"/>
      <c r="C36" s="127"/>
      <c r="D36" s="127"/>
      <c r="E36" s="127"/>
      <c r="F36" s="127"/>
      <c r="G36" s="127"/>
      <c r="H36" s="127"/>
      <c r="I36" s="127"/>
      <c r="J36" s="127"/>
      <c r="K36" s="127"/>
      <c r="L36" s="127"/>
      <c r="M36" s="127"/>
      <c r="N36" s="124"/>
    </row>
    <row r="37" spans="1:14" ht="31.5" customHeight="1" x14ac:dyDescent="0.25">
      <c r="A37" s="153"/>
      <c r="B37" s="260" t="s">
        <v>22</v>
      </c>
      <c r="C37" s="260"/>
      <c r="D37" s="260"/>
      <c r="E37" s="260"/>
      <c r="F37" s="260"/>
      <c r="G37" s="260"/>
      <c r="H37" s="260"/>
      <c r="I37" s="260"/>
      <c r="J37" s="260"/>
      <c r="K37" s="260"/>
      <c r="L37" s="260"/>
      <c r="M37" s="260"/>
      <c r="N37" s="124"/>
    </row>
    <row r="38" spans="1:14" x14ac:dyDescent="0.25">
      <c r="B38" s="128"/>
      <c r="C38" s="127"/>
      <c r="D38" s="127"/>
      <c r="E38" s="127"/>
      <c r="F38" s="127"/>
      <c r="G38" s="127"/>
      <c r="H38" s="127"/>
      <c r="I38" s="127"/>
      <c r="J38" s="127"/>
      <c r="K38" s="127"/>
      <c r="L38" s="127"/>
      <c r="M38" s="127"/>
      <c r="N38" s="124"/>
    </row>
    <row r="39" spans="1:14" x14ac:dyDescent="0.25">
      <c r="B39" s="137" t="s">
        <v>23</v>
      </c>
      <c r="C39" s="131"/>
      <c r="D39" s="131"/>
      <c r="E39" s="131"/>
      <c r="F39" s="131"/>
      <c r="G39" s="131"/>
      <c r="H39" s="131"/>
      <c r="I39" s="131"/>
      <c r="J39" s="131"/>
      <c r="K39" s="131"/>
      <c r="L39" s="131"/>
      <c r="M39" s="131"/>
      <c r="N39" s="124"/>
    </row>
    <row r="40" spans="1:14" ht="72" customHeight="1" x14ac:dyDescent="0.25">
      <c r="A40" s="153"/>
      <c r="B40" s="260" t="s">
        <v>24</v>
      </c>
      <c r="C40" s="260"/>
      <c r="D40" s="260"/>
      <c r="E40" s="260"/>
      <c r="F40" s="260"/>
      <c r="G40" s="260"/>
      <c r="H40" s="260"/>
      <c r="I40" s="260"/>
      <c r="J40" s="260"/>
      <c r="K40" s="260"/>
      <c r="L40" s="260"/>
      <c r="M40" s="260"/>
      <c r="N40" s="124"/>
    </row>
    <row r="41" spans="1:14" ht="12.75" customHeight="1" x14ac:dyDescent="0.25">
      <c r="A41" s="153"/>
      <c r="B41" s="131"/>
      <c r="C41" s="131"/>
      <c r="D41" s="131"/>
      <c r="E41" s="131"/>
      <c r="F41" s="131"/>
      <c r="G41" s="131"/>
      <c r="H41" s="131"/>
      <c r="I41" s="131"/>
      <c r="J41" s="131"/>
      <c r="K41" s="131"/>
      <c r="L41" s="131"/>
      <c r="M41" s="131"/>
      <c r="N41" s="124"/>
    </row>
    <row r="42" spans="1:14" ht="18" x14ac:dyDescent="0.25">
      <c r="A42" s="153"/>
      <c r="B42" s="138" t="s">
        <v>25</v>
      </c>
      <c r="C42" s="131"/>
      <c r="D42" s="131"/>
      <c r="E42" s="131"/>
      <c r="F42" s="131"/>
      <c r="G42" s="131"/>
      <c r="H42" s="131"/>
      <c r="I42" s="131"/>
      <c r="J42" s="131"/>
      <c r="K42" s="131"/>
      <c r="L42" s="131"/>
      <c r="M42" s="131"/>
      <c r="N42" s="124"/>
    </row>
    <row r="43" spans="1:14" x14ac:dyDescent="0.25">
      <c r="A43" s="153"/>
      <c r="B43" s="131"/>
      <c r="C43" s="131"/>
      <c r="D43" s="131"/>
      <c r="E43" s="131"/>
      <c r="F43" s="131"/>
      <c r="G43" s="131"/>
      <c r="H43" s="131"/>
      <c r="I43" s="131"/>
      <c r="J43" s="131"/>
      <c r="K43" s="131"/>
      <c r="L43" s="131"/>
      <c r="M43" s="131"/>
      <c r="N43" s="124"/>
    </row>
    <row r="44" spans="1:14" x14ac:dyDescent="0.25">
      <c r="A44" s="153"/>
      <c r="B44" s="263" t="s">
        <v>26</v>
      </c>
      <c r="C44" s="264"/>
      <c r="D44" s="264"/>
      <c r="E44" s="264"/>
      <c r="F44" s="264"/>
      <c r="G44" s="264"/>
      <c r="H44" s="264"/>
      <c r="I44" s="264"/>
      <c r="J44" s="264"/>
      <c r="K44" s="264"/>
      <c r="L44" s="264"/>
      <c r="M44" s="264"/>
      <c r="N44" s="124"/>
    </row>
    <row r="45" spans="1:14" ht="9" customHeight="1" x14ac:dyDescent="0.25">
      <c r="A45" s="153"/>
      <c r="B45" s="131"/>
      <c r="C45" s="131"/>
      <c r="D45" s="131"/>
      <c r="E45" s="131"/>
      <c r="F45" s="131"/>
      <c r="G45" s="131"/>
      <c r="H45" s="131"/>
      <c r="I45" s="131"/>
      <c r="J45" s="131"/>
      <c r="K45" s="131"/>
      <c r="L45" s="131"/>
      <c r="M45" s="131"/>
      <c r="N45" s="124"/>
    </row>
    <row r="46" spans="1:14" x14ac:dyDescent="0.25">
      <c r="A46" s="153"/>
      <c r="B46" s="253" t="s">
        <v>27</v>
      </c>
      <c r="C46" s="254"/>
      <c r="D46" s="254"/>
      <c r="E46" s="254"/>
      <c r="F46" s="254"/>
      <c r="G46" s="254"/>
      <c r="H46" s="254"/>
      <c r="I46" s="254"/>
      <c r="J46" s="254"/>
      <c r="K46" s="254"/>
      <c r="L46" s="254"/>
      <c r="M46" s="254"/>
      <c r="N46" s="124"/>
    </row>
    <row r="47" spans="1:14" ht="45" customHeight="1" x14ac:dyDescent="0.25">
      <c r="A47" s="153"/>
      <c r="B47" s="250" t="s">
        <v>28</v>
      </c>
      <c r="C47" s="250"/>
      <c r="D47" s="250"/>
      <c r="E47" s="250"/>
      <c r="F47" s="250"/>
      <c r="G47" s="250"/>
      <c r="H47" s="250"/>
      <c r="I47" s="250"/>
      <c r="J47" s="250"/>
      <c r="K47" s="250"/>
      <c r="L47" s="250"/>
      <c r="M47" s="250"/>
      <c r="N47" s="124"/>
    </row>
    <row r="48" spans="1:14" ht="43.5" customHeight="1" x14ac:dyDescent="0.25">
      <c r="A48" s="153"/>
      <c r="B48" s="250" t="s">
        <v>29</v>
      </c>
      <c r="C48" s="250"/>
      <c r="D48" s="250"/>
      <c r="E48" s="250"/>
      <c r="F48" s="250"/>
      <c r="G48" s="250"/>
      <c r="H48" s="250"/>
      <c r="I48" s="250"/>
      <c r="J48" s="250"/>
      <c r="K48" s="250"/>
      <c r="L48" s="250"/>
      <c r="M48" s="250"/>
      <c r="N48" s="124"/>
    </row>
    <row r="49" spans="1:14" ht="15.75" customHeight="1" x14ac:dyDescent="0.25">
      <c r="A49" s="153"/>
      <c r="B49" s="250" t="s">
        <v>30</v>
      </c>
      <c r="C49" s="250"/>
      <c r="D49" s="250"/>
      <c r="E49" s="250"/>
      <c r="F49" s="250"/>
      <c r="G49" s="250"/>
      <c r="H49" s="250"/>
      <c r="I49" s="250"/>
      <c r="J49" s="250"/>
      <c r="K49" s="250"/>
      <c r="L49" s="250"/>
      <c r="M49" s="250"/>
      <c r="N49" s="124"/>
    </row>
    <row r="50" spans="1:14" ht="15.75" customHeight="1" x14ac:dyDescent="0.25">
      <c r="A50" s="153"/>
      <c r="B50" s="250" t="s">
        <v>31</v>
      </c>
      <c r="C50" s="250"/>
      <c r="D50" s="250"/>
      <c r="E50" s="250"/>
      <c r="F50" s="250"/>
      <c r="G50" s="250"/>
      <c r="H50" s="250"/>
      <c r="I50" s="250"/>
      <c r="J50" s="250"/>
      <c r="K50" s="250"/>
      <c r="L50" s="250"/>
      <c r="M50" s="250"/>
      <c r="N50" s="124"/>
    </row>
    <row r="51" spans="1:14" ht="90" customHeight="1" x14ac:dyDescent="0.25">
      <c r="A51" s="153"/>
      <c r="B51" s="250" t="s">
        <v>32</v>
      </c>
      <c r="C51" s="250"/>
      <c r="D51" s="250"/>
      <c r="E51" s="250"/>
      <c r="F51" s="250"/>
      <c r="G51" s="250"/>
      <c r="H51" s="250"/>
      <c r="I51" s="250"/>
      <c r="J51" s="250"/>
      <c r="K51" s="250"/>
      <c r="L51" s="250"/>
      <c r="M51" s="250"/>
      <c r="N51" s="124"/>
    </row>
    <row r="52" spans="1:14" ht="33.75" customHeight="1" x14ac:dyDescent="0.25">
      <c r="B52" s="251" t="s">
        <v>33</v>
      </c>
      <c r="C52" s="252"/>
      <c r="D52" s="252"/>
      <c r="E52" s="252"/>
      <c r="F52" s="252"/>
      <c r="G52" s="252"/>
      <c r="H52" s="252"/>
      <c r="I52" s="252"/>
      <c r="J52" s="252"/>
      <c r="K52" s="252"/>
      <c r="L52" s="252"/>
      <c r="M52" s="252"/>
      <c r="N52" s="124"/>
    </row>
    <row r="53" spans="1:14" ht="46.5" customHeight="1" x14ac:dyDescent="0.25">
      <c r="B53" s="248" t="s">
        <v>34</v>
      </c>
      <c r="C53" s="249"/>
      <c r="D53" s="249"/>
      <c r="E53" s="249"/>
      <c r="F53" s="249"/>
      <c r="G53" s="249"/>
      <c r="H53" s="249"/>
      <c r="I53" s="249"/>
      <c r="J53" s="249"/>
      <c r="K53" s="249"/>
      <c r="L53" s="249"/>
      <c r="M53" s="249"/>
      <c r="N53" s="124"/>
    </row>
    <row r="54" spans="1:14" ht="61.5" customHeight="1" x14ac:dyDescent="0.25">
      <c r="B54" s="248" t="s">
        <v>35</v>
      </c>
      <c r="C54" s="249"/>
      <c r="D54" s="249"/>
      <c r="E54" s="249"/>
      <c r="F54" s="249"/>
      <c r="G54" s="249"/>
      <c r="H54" s="249"/>
      <c r="I54" s="249"/>
      <c r="J54" s="249"/>
      <c r="K54" s="249"/>
      <c r="L54" s="249"/>
      <c r="M54" s="249"/>
      <c r="N54" s="124"/>
    </row>
    <row r="55" spans="1:14" x14ac:dyDescent="0.25">
      <c r="B55" s="253" t="s">
        <v>36</v>
      </c>
      <c r="C55" s="254"/>
      <c r="D55" s="254"/>
      <c r="E55" s="254"/>
      <c r="F55" s="254"/>
      <c r="G55" s="254"/>
      <c r="H55" s="254"/>
      <c r="I55" s="254"/>
      <c r="J55" s="254"/>
      <c r="K55" s="254"/>
      <c r="L55" s="254"/>
      <c r="M55" s="254"/>
      <c r="N55" s="124"/>
    </row>
    <row r="56" spans="1:14" x14ac:dyDescent="0.25">
      <c r="B56" s="134"/>
      <c r="C56" s="131"/>
      <c r="D56" s="131"/>
      <c r="E56" s="131"/>
      <c r="F56" s="131"/>
      <c r="G56" s="131"/>
      <c r="H56" s="131"/>
      <c r="I56" s="131"/>
      <c r="J56" s="131"/>
      <c r="K56" s="131"/>
      <c r="L56" s="131"/>
      <c r="M56" s="131"/>
      <c r="N56" s="124"/>
    </row>
    <row r="57" spans="1:14" ht="33" customHeight="1" x14ac:dyDescent="0.25">
      <c r="B57" s="251" t="s">
        <v>37</v>
      </c>
      <c r="C57" s="252"/>
      <c r="D57" s="252"/>
      <c r="E57" s="252"/>
      <c r="F57" s="252"/>
      <c r="G57" s="252"/>
      <c r="H57" s="252"/>
      <c r="I57" s="252"/>
      <c r="J57" s="252"/>
      <c r="K57" s="252"/>
      <c r="L57" s="252"/>
      <c r="M57" s="252"/>
      <c r="N57" s="124"/>
    </row>
    <row r="58" spans="1:14" x14ac:dyDescent="0.25">
      <c r="B58" s="134" t="s">
        <v>38</v>
      </c>
      <c r="C58" s="131"/>
      <c r="D58" s="131"/>
      <c r="E58" s="131"/>
      <c r="F58" s="131"/>
      <c r="G58" s="131"/>
      <c r="H58" s="131"/>
      <c r="I58" s="131"/>
      <c r="J58" s="131"/>
      <c r="K58" s="131"/>
      <c r="L58" s="131"/>
      <c r="M58" s="131"/>
      <c r="N58" s="124"/>
    </row>
    <row r="59" spans="1:14" ht="47.25" customHeight="1" x14ac:dyDescent="0.25">
      <c r="B59" s="248" t="s">
        <v>39</v>
      </c>
      <c r="C59" s="249"/>
      <c r="D59" s="249"/>
      <c r="E59" s="249"/>
      <c r="F59" s="249"/>
      <c r="G59" s="249"/>
      <c r="H59" s="249"/>
      <c r="I59" s="249"/>
      <c r="J59" s="249"/>
      <c r="K59" s="249"/>
      <c r="L59" s="249"/>
      <c r="M59" s="249"/>
      <c r="N59" s="124"/>
    </row>
    <row r="60" spans="1:14" x14ac:dyDescent="0.25">
      <c r="B60" s="134" t="s">
        <v>40</v>
      </c>
      <c r="C60" s="131"/>
      <c r="D60" s="131"/>
      <c r="E60" s="131"/>
      <c r="F60" s="131"/>
      <c r="G60" s="131"/>
      <c r="H60" s="131"/>
      <c r="I60" s="131"/>
      <c r="J60" s="131"/>
      <c r="K60" s="131"/>
      <c r="L60" s="131"/>
      <c r="M60" s="131"/>
      <c r="N60" s="124"/>
    </row>
    <row r="61" spans="1:14" x14ac:dyDescent="0.25">
      <c r="B61" s="134"/>
      <c r="C61" s="131"/>
      <c r="D61" s="131"/>
      <c r="E61" s="131"/>
      <c r="F61" s="131"/>
      <c r="G61" s="131"/>
      <c r="H61" s="131"/>
      <c r="I61" s="131"/>
      <c r="J61" s="131"/>
      <c r="K61" s="131"/>
      <c r="L61" s="131"/>
      <c r="M61" s="131"/>
      <c r="N61" s="124"/>
    </row>
    <row r="62" spans="1:14" ht="33" customHeight="1" x14ac:dyDescent="0.25">
      <c r="B62" s="251" t="s">
        <v>41</v>
      </c>
      <c r="C62" s="252"/>
      <c r="D62" s="252"/>
      <c r="E62" s="252"/>
      <c r="F62" s="252"/>
      <c r="G62" s="252"/>
      <c r="H62" s="252"/>
      <c r="I62" s="252"/>
      <c r="J62" s="252"/>
      <c r="K62" s="252"/>
      <c r="L62" s="252"/>
      <c r="M62" s="252"/>
      <c r="N62" s="124"/>
    </row>
    <row r="63" spans="1:14" x14ac:dyDescent="0.25">
      <c r="B63" s="253" t="s">
        <v>42</v>
      </c>
      <c r="C63" s="254"/>
      <c r="D63" s="254"/>
      <c r="E63" s="254"/>
      <c r="F63" s="254"/>
      <c r="G63" s="254"/>
      <c r="H63" s="254"/>
      <c r="I63" s="254"/>
      <c r="J63" s="254"/>
      <c r="K63" s="254"/>
      <c r="L63" s="254"/>
      <c r="M63" s="254"/>
      <c r="N63" s="124"/>
    </row>
    <row r="64" spans="1:14" x14ac:dyDescent="0.25">
      <c r="B64" s="253" t="s">
        <v>43</v>
      </c>
      <c r="C64" s="254"/>
      <c r="D64" s="254"/>
      <c r="E64" s="254"/>
      <c r="F64" s="254"/>
      <c r="G64" s="254"/>
      <c r="H64" s="254"/>
      <c r="I64" s="254"/>
      <c r="J64" s="254"/>
      <c r="K64" s="254"/>
      <c r="L64" s="254"/>
      <c r="M64" s="254"/>
      <c r="N64" s="124"/>
    </row>
    <row r="65" spans="2:14" ht="32.25" customHeight="1" x14ac:dyDescent="0.25">
      <c r="B65" s="248" t="s">
        <v>44</v>
      </c>
      <c r="C65" s="249"/>
      <c r="D65" s="249"/>
      <c r="E65" s="249"/>
      <c r="F65" s="249"/>
      <c r="G65" s="249"/>
      <c r="H65" s="249"/>
      <c r="I65" s="249"/>
      <c r="J65" s="249"/>
      <c r="K65" s="249"/>
      <c r="L65" s="249"/>
      <c r="M65" s="249"/>
      <c r="N65" s="124"/>
    </row>
    <row r="66" spans="2:14" ht="16.5" customHeight="1" x14ac:dyDescent="0.25">
      <c r="B66" s="139"/>
      <c r="C66" s="140"/>
      <c r="D66" s="140"/>
      <c r="E66" s="140"/>
      <c r="F66" s="140"/>
      <c r="G66" s="140"/>
      <c r="H66" s="140"/>
      <c r="I66" s="140"/>
      <c r="J66" s="140"/>
      <c r="K66" s="140"/>
      <c r="L66" s="140"/>
      <c r="M66" s="140"/>
      <c r="N66" s="124"/>
    </row>
    <row r="67" spans="2:14" x14ac:dyDescent="0.25">
      <c r="B67" s="251" t="s">
        <v>45</v>
      </c>
      <c r="C67" s="252"/>
      <c r="D67" s="252"/>
      <c r="E67" s="252"/>
      <c r="F67" s="252"/>
      <c r="G67" s="252"/>
      <c r="H67" s="252"/>
      <c r="I67" s="252"/>
      <c r="J67" s="252"/>
      <c r="K67" s="252"/>
      <c r="L67" s="252"/>
      <c r="M67" s="252"/>
      <c r="N67" s="124"/>
    </row>
    <row r="68" spans="2:14" ht="32.25" customHeight="1" x14ac:dyDescent="0.25">
      <c r="B68" s="139"/>
      <c r="C68" s="140"/>
      <c r="D68" s="140"/>
      <c r="E68" s="140"/>
      <c r="F68" s="140"/>
      <c r="G68" s="140"/>
      <c r="H68" s="140"/>
      <c r="I68" s="140"/>
      <c r="J68" s="140"/>
      <c r="K68" s="140"/>
      <c r="L68" s="140"/>
      <c r="M68" s="140"/>
      <c r="N68" s="124"/>
    </row>
    <row r="69" spans="2:14" ht="32.25" customHeight="1" x14ac:dyDescent="0.25">
      <c r="B69" s="139"/>
      <c r="C69" s="140"/>
      <c r="D69" s="140"/>
      <c r="E69" s="140"/>
      <c r="F69" s="140"/>
      <c r="G69" s="140"/>
      <c r="H69" s="140"/>
      <c r="I69" s="140"/>
      <c r="J69" s="140"/>
      <c r="K69" s="140"/>
      <c r="L69" s="140"/>
      <c r="M69" s="140"/>
      <c r="N69" s="124"/>
    </row>
    <row r="70" spans="2:14" ht="32.25" customHeight="1" x14ac:dyDescent="0.25">
      <c r="B70" s="139"/>
      <c r="C70" s="140"/>
      <c r="D70" s="140"/>
      <c r="E70" s="140"/>
      <c r="F70" s="140"/>
      <c r="G70" s="140"/>
      <c r="H70" s="140"/>
      <c r="I70" s="140"/>
      <c r="J70" s="140"/>
      <c r="K70" s="140"/>
      <c r="L70" s="140"/>
      <c r="M70" s="140"/>
      <c r="N70" s="124"/>
    </row>
    <row r="71" spans="2:14" ht="32.25" customHeight="1" x14ac:dyDescent="0.25">
      <c r="B71" s="139"/>
      <c r="C71" s="140"/>
      <c r="D71" s="140"/>
      <c r="E71" s="140"/>
      <c r="F71" s="140"/>
      <c r="G71" s="140"/>
      <c r="H71" s="140"/>
      <c r="I71" s="140"/>
      <c r="J71" s="140"/>
      <c r="K71" s="140"/>
      <c r="L71" s="140"/>
      <c r="M71" s="140"/>
      <c r="N71" s="124"/>
    </row>
    <row r="72" spans="2:14" ht="32.25" customHeight="1" x14ac:dyDescent="0.25">
      <c r="B72" s="139"/>
      <c r="C72" s="140"/>
      <c r="D72" s="140"/>
      <c r="E72" s="140"/>
      <c r="F72" s="140"/>
      <c r="G72" s="140"/>
      <c r="H72" s="140"/>
      <c r="I72" s="140"/>
      <c r="J72" s="140"/>
      <c r="K72" s="140"/>
      <c r="L72" s="140"/>
      <c r="M72" s="140"/>
      <c r="N72" s="124"/>
    </row>
    <row r="73" spans="2:14" ht="18" x14ac:dyDescent="0.25">
      <c r="B73" s="257" t="s">
        <v>46</v>
      </c>
      <c r="C73" s="258"/>
      <c r="D73" s="258"/>
      <c r="E73" s="258"/>
      <c r="F73" s="258"/>
      <c r="G73" s="258"/>
      <c r="H73" s="258"/>
      <c r="I73" s="258"/>
      <c r="J73" s="258"/>
      <c r="K73" s="258"/>
      <c r="L73" s="258"/>
      <c r="M73" s="258"/>
      <c r="N73" s="124"/>
    </row>
    <row r="74" spans="2:14" x14ac:dyDescent="0.25">
      <c r="B74" s="134"/>
      <c r="C74" s="131"/>
      <c r="D74" s="131"/>
      <c r="E74" s="131"/>
      <c r="F74" s="131"/>
      <c r="G74" s="131"/>
      <c r="H74" s="131"/>
      <c r="I74" s="131"/>
      <c r="J74" s="131"/>
      <c r="K74" s="131"/>
      <c r="L74" s="131"/>
      <c r="M74" s="131"/>
      <c r="N74" s="124"/>
    </row>
    <row r="75" spans="2:14" x14ac:dyDescent="0.25">
      <c r="B75" s="251" t="s">
        <v>47</v>
      </c>
      <c r="C75" s="252"/>
      <c r="D75" s="252"/>
      <c r="E75" s="252"/>
      <c r="F75" s="252"/>
      <c r="G75" s="252"/>
      <c r="H75" s="252"/>
      <c r="I75" s="252"/>
      <c r="J75" s="252"/>
      <c r="K75" s="252"/>
      <c r="L75" s="252"/>
      <c r="M75" s="252"/>
      <c r="N75" s="255"/>
    </row>
    <row r="76" spans="2:14" x14ac:dyDescent="0.25">
      <c r="B76" s="134" t="s">
        <v>48</v>
      </c>
      <c r="C76" s="131"/>
      <c r="D76" s="256" t="s">
        <v>49</v>
      </c>
      <c r="E76" s="256"/>
      <c r="F76" s="256"/>
      <c r="G76" s="256"/>
      <c r="H76" s="256"/>
      <c r="I76" s="256"/>
      <c r="J76" s="131"/>
      <c r="K76" s="131"/>
      <c r="L76" s="131"/>
      <c r="M76" s="131"/>
      <c r="N76" s="124"/>
    </row>
    <row r="77" spans="2:14" ht="27.75" customHeight="1" x14ac:dyDescent="0.25">
      <c r="B77" s="248" t="s">
        <v>50</v>
      </c>
      <c r="C77" s="249"/>
      <c r="D77" s="249"/>
      <c r="E77" s="249"/>
      <c r="F77" s="249"/>
      <c r="G77" s="249"/>
      <c r="H77" s="249"/>
      <c r="I77" s="249"/>
      <c r="J77" s="249"/>
      <c r="K77" s="249"/>
      <c r="L77" s="249"/>
      <c r="M77" s="249"/>
      <c r="N77" s="124"/>
    </row>
    <row r="78" spans="2:14" ht="29.25" customHeight="1" x14ac:dyDescent="0.25">
      <c r="B78" s="248" t="s">
        <v>51</v>
      </c>
      <c r="C78" s="249"/>
      <c r="D78" s="249"/>
      <c r="E78" s="249"/>
      <c r="F78" s="249"/>
      <c r="G78" s="249"/>
      <c r="H78" s="249"/>
      <c r="I78" s="249"/>
      <c r="J78" s="249"/>
      <c r="K78" s="249"/>
      <c r="L78" s="249"/>
      <c r="M78" s="249"/>
      <c r="N78" s="124"/>
    </row>
    <row r="79" spans="2:14" x14ac:dyDescent="0.25">
      <c r="B79" s="134" t="s">
        <v>52</v>
      </c>
      <c r="C79" s="131"/>
      <c r="D79" s="131"/>
      <c r="E79" s="131"/>
      <c r="F79" s="131"/>
      <c r="G79" s="131"/>
      <c r="H79" s="131"/>
      <c r="I79" s="131"/>
      <c r="J79" s="131"/>
      <c r="K79" s="131"/>
      <c r="L79" s="131"/>
      <c r="M79" s="131"/>
      <c r="N79" s="124"/>
    </row>
    <row r="80" spans="2:14" x14ac:dyDescent="0.25">
      <c r="B80" s="134"/>
      <c r="C80" s="131"/>
      <c r="D80" s="131"/>
      <c r="E80" s="131"/>
      <c r="F80" s="131"/>
      <c r="G80" s="131"/>
      <c r="H80" s="131"/>
      <c r="I80" s="131"/>
      <c r="J80" s="131"/>
      <c r="K80" s="131"/>
      <c r="L80" s="131"/>
      <c r="M80" s="131"/>
      <c r="N80" s="124"/>
    </row>
    <row r="81" spans="2:14" x14ac:dyDescent="0.25">
      <c r="B81" s="251" t="s">
        <v>53</v>
      </c>
      <c r="C81" s="252"/>
      <c r="D81" s="252"/>
      <c r="E81" s="252"/>
      <c r="F81" s="252"/>
      <c r="G81" s="252"/>
      <c r="H81" s="252"/>
      <c r="I81" s="252"/>
      <c r="J81" s="252"/>
      <c r="K81" s="252"/>
      <c r="L81" s="252"/>
      <c r="M81" s="252"/>
      <c r="N81" s="255"/>
    </row>
    <row r="82" spans="2:14" x14ac:dyDescent="0.25">
      <c r="B82" s="134" t="s">
        <v>54</v>
      </c>
      <c r="C82" s="131"/>
      <c r="D82" s="259" t="s">
        <v>55</v>
      </c>
      <c r="E82" s="259"/>
      <c r="F82" s="259"/>
      <c r="G82" s="259"/>
      <c r="H82" s="259"/>
      <c r="I82" s="131"/>
      <c r="J82" s="131"/>
      <c r="K82" s="131"/>
      <c r="L82" s="131"/>
      <c r="M82" s="131"/>
      <c r="N82" s="124"/>
    </row>
    <row r="83" spans="2:14" ht="58.5" customHeight="1" x14ac:dyDescent="0.25">
      <c r="B83" s="248" t="s">
        <v>56</v>
      </c>
      <c r="C83" s="249"/>
      <c r="D83" s="249"/>
      <c r="E83" s="249"/>
      <c r="F83" s="249"/>
      <c r="G83" s="249"/>
      <c r="H83" s="249"/>
      <c r="I83" s="249"/>
      <c r="J83" s="249"/>
      <c r="K83" s="249"/>
      <c r="L83" s="249"/>
      <c r="M83" s="249"/>
      <c r="N83" s="124"/>
    </row>
    <row r="84" spans="2:14" x14ac:dyDescent="0.25">
      <c r="B84" s="134" t="s">
        <v>57</v>
      </c>
      <c r="C84" s="131"/>
      <c r="D84" s="131"/>
      <c r="E84" s="131"/>
      <c r="F84" s="131"/>
      <c r="G84" s="131"/>
      <c r="H84" s="131"/>
      <c r="I84" s="131"/>
      <c r="J84" s="131"/>
      <c r="K84" s="131"/>
      <c r="L84" s="131"/>
      <c r="M84" s="131"/>
      <c r="N84" s="124"/>
    </row>
    <row r="85" spans="2:14" x14ac:dyDescent="0.25">
      <c r="B85" s="134" t="s">
        <v>58</v>
      </c>
      <c r="C85" s="131"/>
      <c r="D85" s="131"/>
      <c r="E85" s="131"/>
      <c r="F85" s="131"/>
      <c r="G85" s="131"/>
      <c r="H85" s="131"/>
      <c r="I85" s="131"/>
      <c r="J85" s="131"/>
      <c r="K85" s="131"/>
      <c r="L85" s="131"/>
      <c r="M85" s="131"/>
      <c r="N85" s="124"/>
    </row>
    <row r="86" spans="2:14" x14ac:dyDescent="0.25">
      <c r="B86" s="134"/>
      <c r="C86" s="131"/>
      <c r="D86" s="131"/>
      <c r="E86" s="131"/>
      <c r="F86" s="131"/>
      <c r="G86" s="131"/>
      <c r="H86" s="131"/>
      <c r="I86" s="131"/>
      <c r="J86" s="131"/>
      <c r="K86" s="131"/>
      <c r="L86" s="131"/>
      <c r="M86" s="131"/>
      <c r="N86" s="124"/>
    </row>
    <row r="87" spans="2:14" ht="31.5" customHeight="1" x14ac:dyDescent="0.25">
      <c r="B87" s="251" t="s">
        <v>59</v>
      </c>
      <c r="C87" s="252"/>
      <c r="D87" s="252"/>
      <c r="E87" s="252"/>
      <c r="F87" s="252"/>
      <c r="G87" s="252"/>
      <c r="H87" s="252"/>
      <c r="I87" s="252"/>
      <c r="J87" s="252"/>
      <c r="K87" s="252"/>
      <c r="L87" s="252"/>
      <c r="M87" s="252"/>
      <c r="N87" s="124"/>
    </row>
    <row r="88" spans="2:14" x14ac:dyDescent="0.25">
      <c r="B88" s="134" t="s">
        <v>48</v>
      </c>
      <c r="C88" s="131"/>
      <c r="D88" s="256" t="s">
        <v>60</v>
      </c>
      <c r="E88" s="256"/>
      <c r="F88" s="256"/>
      <c r="G88" s="256"/>
      <c r="H88" s="256"/>
      <c r="I88" s="131"/>
      <c r="J88" s="131"/>
      <c r="K88" s="131"/>
      <c r="L88" s="131"/>
      <c r="M88" s="131"/>
      <c r="N88" s="124"/>
    </row>
    <row r="89" spans="2:14" x14ac:dyDescent="0.25">
      <c r="B89" s="134" t="s">
        <v>61</v>
      </c>
      <c r="C89" s="131"/>
      <c r="D89" s="131"/>
      <c r="E89" s="131"/>
      <c r="F89" s="131"/>
      <c r="G89" s="131"/>
      <c r="H89" s="131"/>
      <c r="I89" s="131"/>
      <c r="J89" s="131"/>
      <c r="K89" s="131"/>
      <c r="L89" s="131"/>
      <c r="M89" s="131"/>
      <c r="N89" s="124"/>
    </row>
    <row r="90" spans="2:14" ht="28.5" customHeight="1" x14ac:dyDescent="0.25">
      <c r="B90" s="248" t="s">
        <v>62</v>
      </c>
      <c r="C90" s="249"/>
      <c r="D90" s="249"/>
      <c r="E90" s="249"/>
      <c r="F90" s="249"/>
      <c r="G90" s="249"/>
      <c r="H90" s="249"/>
      <c r="I90" s="249"/>
      <c r="J90" s="249"/>
      <c r="K90" s="249"/>
      <c r="L90" s="249"/>
      <c r="M90" s="249"/>
      <c r="N90" s="124"/>
    </row>
    <row r="91" spans="2:14" ht="30" customHeight="1" x14ac:dyDescent="0.25">
      <c r="B91" s="248" t="s">
        <v>63</v>
      </c>
      <c r="C91" s="249"/>
      <c r="D91" s="249"/>
      <c r="E91" s="249"/>
      <c r="F91" s="249"/>
      <c r="G91" s="249"/>
      <c r="H91" s="249"/>
      <c r="I91" s="249"/>
      <c r="J91" s="249"/>
      <c r="K91" s="249"/>
      <c r="L91" s="249"/>
      <c r="M91" s="249"/>
      <c r="N91" s="124"/>
    </row>
    <row r="92" spans="2:14" ht="33.75" customHeight="1" x14ac:dyDescent="0.25">
      <c r="B92" s="248" t="s">
        <v>64</v>
      </c>
      <c r="C92" s="249"/>
      <c r="D92" s="249"/>
      <c r="E92" s="249"/>
      <c r="F92" s="249"/>
      <c r="G92" s="249"/>
      <c r="H92" s="249"/>
      <c r="I92" s="249"/>
      <c r="J92" s="249"/>
      <c r="K92" s="249"/>
      <c r="L92" s="249"/>
      <c r="M92" s="249"/>
      <c r="N92" s="124"/>
    </row>
    <row r="93" spans="2:14" x14ac:dyDescent="0.25">
      <c r="B93" s="134"/>
      <c r="C93" s="131"/>
      <c r="D93" s="131"/>
      <c r="E93" s="131"/>
      <c r="F93" s="131"/>
      <c r="G93" s="131"/>
      <c r="H93" s="131"/>
      <c r="I93" s="131"/>
      <c r="J93" s="131"/>
      <c r="K93" s="131"/>
      <c r="L93" s="131"/>
      <c r="M93" s="131"/>
      <c r="N93" s="124"/>
    </row>
    <row r="94" spans="2:14" x14ac:dyDescent="0.25">
      <c r="B94" s="251" t="s">
        <v>65</v>
      </c>
      <c r="C94" s="252"/>
      <c r="D94" s="252"/>
      <c r="E94" s="252"/>
      <c r="F94" s="252"/>
      <c r="G94" s="252"/>
      <c r="H94" s="252"/>
      <c r="I94" s="252"/>
      <c r="J94" s="252"/>
      <c r="K94" s="252"/>
      <c r="L94" s="252"/>
      <c r="M94" s="252"/>
      <c r="N94" s="255"/>
    </row>
    <row r="95" spans="2:14" x14ac:dyDescent="0.25">
      <c r="B95" s="134" t="s">
        <v>66</v>
      </c>
      <c r="C95" s="131"/>
      <c r="D95" s="256" t="s">
        <v>67</v>
      </c>
      <c r="E95" s="256"/>
      <c r="F95" s="256"/>
      <c r="G95" s="256"/>
      <c r="H95" s="256"/>
      <c r="I95" s="256"/>
      <c r="J95" s="256"/>
      <c r="K95" s="131"/>
      <c r="L95" s="131"/>
      <c r="M95" s="131"/>
      <c r="N95" s="124"/>
    </row>
    <row r="96" spans="2:14" x14ac:dyDescent="0.25">
      <c r="B96" s="253" t="s">
        <v>68</v>
      </c>
      <c r="C96" s="254"/>
      <c r="D96" s="254"/>
      <c r="E96" s="254"/>
      <c r="F96" s="254"/>
      <c r="G96" s="254"/>
      <c r="H96" s="254"/>
      <c r="I96" s="254"/>
      <c r="J96" s="254"/>
      <c r="K96" s="254"/>
      <c r="L96" s="254"/>
      <c r="M96" s="254"/>
      <c r="N96" s="124"/>
    </row>
    <row r="97" spans="2:14" ht="18.75" customHeight="1" x14ac:dyDescent="0.25">
      <c r="B97" s="248" t="s">
        <v>69</v>
      </c>
      <c r="C97" s="249"/>
      <c r="D97" s="249"/>
      <c r="E97" s="249"/>
      <c r="F97" s="249"/>
      <c r="G97" s="249"/>
      <c r="H97" s="249"/>
      <c r="I97" s="249"/>
      <c r="J97" s="249"/>
      <c r="K97" s="249"/>
      <c r="L97" s="249"/>
      <c r="M97" s="249"/>
      <c r="N97" s="124"/>
    </row>
    <row r="98" spans="2:14" x14ac:dyDescent="0.25">
      <c r="B98" s="253" t="s">
        <v>70</v>
      </c>
      <c r="C98" s="254"/>
      <c r="D98" s="254"/>
      <c r="E98" s="254"/>
      <c r="F98" s="254"/>
      <c r="G98" s="254"/>
      <c r="H98" s="254"/>
      <c r="I98" s="254"/>
      <c r="J98" s="254"/>
      <c r="K98" s="254"/>
      <c r="L98" s="254"/>
      <c r="M98" s="254"/>
      <c r="N98" s="124"/>
    </row>
    <row r="99" spans="2:14" ht="15.75" thickBot="1" x14ac:dyDescent="0.3">
      <c r="B99" s="135"/>
      <c r="C99" s="136"/>
      <c r="D99" s="136"/>
      <c r="E99" s="136"/>
      <c r="F99" s="136"/>
      <c r="G99" s="136"/>
      <c r="H99" s="136"/>
      <c r="I99" s="136"/>
      <c r="J99" s="136"/>
      <c r="K99" s="136"/>
      <c r="L99" s="136"/>
      <c r="M99" s="136"/>
      <c r="N99" s="124"/>
    </row>
    <row r="100" spans="2:14" ht="15.75" thickTop="1" x14ac:dyDescent="0.25">
      <c r="B100" s="154"/>
      <c r="C100" s="155"/>
      <c r="D100" s="155"/>
      <c r="E100" s="155"/>
      <c r="F100" s="155"/>
      <c r="G100" s="155"/>
      <c r="H100" s="155"/>
      <c r="I100" s="155"/>
      <c r="J100" s="155"/>
      <c r="K100" s="155"/>
      <c r="L100" s="155"/>
      <c r="M100" s="155"/>
      <c r="N100" s="156"/>
    </row>
    <row r="101" spans="2:14" x14ac:dyDescent="0.25">
      <c r="B101" s="155"/>
      <c r="C101" s="155"/>
      <c r="D101" s="155"/>
      <c r="E101" s="155"/>
      <c r="F101" s="155"/>
      <c r="G101" s="155"/>
      <c r="H101" s="155"/>
      <c r="I101" s="155"/>
      <c r="J101" s="155"/>
      <c r="K101" s="155"/>
      <c r="L101" s="155"/>
      <c r="M101" s="155"/>
    </row>
    <row r="102" spans="2:14" x14ac:dyDescent="0.25">
      <c r="B102" s="155"/>
      <c r="C102" s="155"/>
      <c r="D102" s="155"/>
      <c r="E102" s="155"/>
      <c r="F102" s="155"/>
      <c r="G102" s="155"/>
      <c r="H102" s="155"/>
      <c r="I102" s="155"/>
      <c r="J102" s="155"/>
      <c r="K102" s="155"/>
      <c r="L102" s="155"/>
      <c r="M102" s="155"/>
    </row>
    <row r="103" spans="2:14" x14ac:dyDescent="0.25">
      <c r="B103" s="155"/>
      <c r="C103" s="155"/>
      <c r="D103" s="155"/>
      <c r="E103" s="155"/>
      <c r="F103" s="155"/>
      <c r="G103" s="155"/>
      <c r="H103" s="155"/>
      <c r="I103" s="155"/>
      <c r="J103" s="155"/>
      <c r="K103" s="155"/>
      <c r="L103" s="155"/>
      <c r="M103" s="155"/>
    </row>
    <row r="104" spans="2:14" x14ac:dyDescent="0.25">
      <c r="B104" s="155"/>
      <c r="C104" s="155"/>
      <c r="D104" s="155"/>
      <c r="E104" s="155"/>
      <c r="F104" s="155"/>
      <c r="G104" s="155"/>
      <c r="H104" s="155"/>
      <c r="I104" s="155"/>
      <c r="J104" s="155"/>
      <c r="K104" s="155"/>
      <c r="L104" s="155"/>
      <c r="M104" s="155"/>
    </row>
    <row r="105" spans="2:14" x14ac:dyDescent="0.25">
      <c r="B105" s="155"/>
      <c r="C105" s="155"/>
      <c r="D105" s="155"/>
      <c r="E105" s="155"/>
      <c r="F105" s="155"/>
      <c r="G105" s="155"/>
      <c r="H105" s="155"/>
      <c r="I105" s="155"/>
      <c r="J105" s="155"/>
      <c r="K105" s="155"/>
      <c r="L105" s="155"/>
      <c r="M105" s="155"/>
    </row>
    <row r="106" spans="2:14" x14ac:dyDescent="0.25">
      <c r="B106" s="155"/>
      <c r="C106" s="155"/>
      <c r="D106" s="155"/>
      <c r="E106" s="155"/>
      <c r="F106" s="155"/>
      <c r="G106" s="155"/>
      <c r="H106" s="155"/>
      <c r="I106" s="155"/>
      <c r="J106" s="155"/>
      <c r="K106" s="155"/>
      <c r="L106" s="155"/>
      <c r="M106" s="155"/>
    </row>
    <row r="107" spans="2:14" x14ac:dyDescent="0.25">
      <c r="B107" s="155"/>
      <c r="C107" s="155"/>
      <c r="D107" s="155"/>
      <c r="E107" s="155"/>
      <c r="F107" s="155"/>
      <c r="G107" s="155"/>
      <c r="H107" s="155"/>
      <c r="I107" s="155"/>
      <c r="J107" s="155"/>
      <c r="K107" s="155"/>
      <c r="L107" s="155"/>
      <c r="M107" s="155"/>
    </row>
    <row r="108" spans="2:14" x14ac:dyDescent="0.25">
      <c r="B108" s="155"/>
      <c r="C108" s="155"/>
      <c r="D108" s="155"/>
      <c r="E108" s="155"/>
      <c r="F108" s="155"/>
      <c r="G108" s="155"/>
      <c r="H108" s="155"/>
      <c r="I108" s="155"/>
      <c r="J108" s="155"/>
      <c r="K108" s="155"/>
      <c r="L108" s="155"/>
      <c r="M108" s="155"/>
    </row>
    <row r="109" spans="2:14" x14ac:dyDescent="0.25">
      <c r="B109" s="155"/>
      <c r="C109" s="155"/>
      <c r="D109" s="155"/>
      <c r="E109" s="155"/>
      <c r="F109" s="155"/>
      <c r="G109" s="155"/>
      <c r="H109" s="155"/>
      <c r="I109" s="155"/>
      <c r="J109" s="155"/>
      <c r="K109" s="155"/>
      <c r="L109" s="155"/>
      <c r="M109" s="155"/>
    </row>
    <row r="110" spans="2:14" x14ac:dyDescent="0.25">
      <c r="B110" s="155"/>
      <c r="C110" s="155"/>
      <c r="D110" s="155"/>
      <c r="E110" s="155"/>
      <c r="F110" s="155"/>
      <c r="G110" s="155"/>
      <c r="H110" s="155"/>
      <c r="I110" s="155"/>
      <c r="J110" s="155"/>
      <c r="K110" s="155"/>
      <c r="L110" s="155"/>
      <c r="M110" s="155"/>
    </row>
    <row r="111" spans="2:14" x14ac:dyDescent="0.25">
      <c r="B111" s="155"/>
      <c r="C111" s="155"/>
      <c r="D111" s="155"/>
      <c r="E111" s="155"/>
      <c r="F111" s="155"/>
      <c r="G111" s="155"/>
      <c r="H111" s="155"/>
      <c r="I111" s="155"/>
      <c r="J111" s="155"/>
      <c r="K111" s="155"/>
      <c r="L111" s="155"/>
      <c r="M111" s="155"/>
    </row>
    <row r="112" spans="2:14" x14ac:dyDescent="0.25">
      <c r="B112" s="155"/>
      <c r="C112" s="155"/>
      <c r="D112" s="155"/>
      <c r="E112" s="155"/>
      <c r="F112" s="155"/>
      <c r="G112" s="155"/>
      <c r="H112" s="155"/>
      <c r="I112" s="155"/>
      <c r="J112" s="155"/>
      <c r="K112" s="155"/>
      <c r="L112" s="155"/>
      <c r="M112" s="155"/>
    </row>
    <row r="113" spans="2:13" x14ac:dyDescent="0.25">
      <c r="B113" s="155"/>
      <c r="C113" s="155"/>
      <c r="D113" s="155"/>
      <c r="E113" s="155"/>
      <c r="F113" s="155"/>
      <c r="G113" s="155"/>
      <c r="H113" s="155"/>
      <c r="I113" s="155"/>
      <c r="J113" s="155"/>
      <c r="K113" s="155"/>
      <c r="L113" s="155"/>
      <c r="M113" s="155"/>
    </row>
    <row r="114" spans="2:13" x14ac:dyDescent="0.25">
      <c r="B114" s="155"/>
      <c r="C114" s="155"/>
      <c r="D114" s="155"/>
      <c r="E114" s="155"/>
      <c r="F114" s="155"/>
      <c r="G114" s="155"/>
      <c r="H114" s="155"/>
      <c r="I114" s="155"/>
      <c r="J114" s="155"/>
      <c r="K114" s="155"/>
      <c r="L114" s="155"/>
      <c r="M114" s="155"/>
    </row>
    <row r="115" spans="2:13" x14ac:dyDescent="0.25">
      <c r="B115" s="155"/>
      <c r="C115" s="155"/>
      <c r="D115" s="155"/>
      <c r="E115" s="155"/>
      <c r="F115" s="155"/>
      <c r="G115" s="155"/>
      <c r="H115" s="155"/>
      <c r="I115" s="155"/>
      <c r="J115" s="155"/>
      <c r="K115" s="155"/>
      <c r="L115" s="155"/>
      <c r="M115" s="155"/>
    </row>
    <row r="116" spans="2:13" x14ac:dyDescent="0.25">
      <c r="B116" s="155"/>
      <c r="C116" s="155"/>
      <c r="D116" s="155"/>
      <c r="E116" s="155"/>
      <c r="F116" s="155"/>
      <c r="G116" s="155"/>
      <c r="H116" s="155"/>
      <c r="I116" s="155"/>
      <c r="J116" s="155"/>
      <c r="K116" s="155"/>
      <c r="L116" s="155"/>
      <c r="M116" s="155"/>
    </row>
    <row r="117" spans="2:13" x14ac:dyDescent="0.25">
      <c r="B117" s="155"/>
      <c r="C117" s="155"/>
      <c r="D117" s="155"/>
      <c r="E117" s="155"/>
      <c r="F117" s="155"/>
      <c r="G117" s="155"/>
      <c r="H117" s="155"/>
      <c r="I117" s="155"/>
      <c r="J117" s="155"/>
      <c r="K117" s="155"/>
      <c r="L117" s="155"/>
      <c r="M117" s="155"/>
    </row>
    <row r="118" spans="2:13" x14ac:dyDescent="0.25">
      <c r="B118" s="155"/>
      <c r="C118" s="155"/>
      <c r="D118" s="155"/>
      <c r="E118" s="155"/>
      <c r="F118" s="155"/>
      <c r="G118" s="155"/>
      <c r="H118" s="155"/>
      <c r="I118" s="155"/>
      <c r="J118" s="155"/>
      <c r="K118" s="155"/>
      <c r="L118" s="155"/>
      <c r="M118" s="155"/>
    </row>
    <row r="119" spans="2:13" x14ac:dyDescent="0.25">
      <c r="B119" s="155"/>
      <c r="C119" s="155"/>
      <c r="D119" s="155"/>
      <c r="E119" s="155"/>
      <c r="F119" s="155"/>
      <c r="G119" s="155"/>
      <c r="H119" s="155"/>
      <c r="I119" s="155"/>
      <c r="J119" s="155"/>
      <c r="K119" s="155"/>
      <c r="L119" s="155"/>
      <c r="M119" s="155"/>
    </row>
    <row r="120" spans="2:13" x14ac:dyDescent="0.25">
      <c r="B120" s="155"/>
      <c r="C120" s="155"/>
      <c r="D120" s="155"/>
      <c r="E120" s="155"/>
      <c r="F120" s="155"/>
      <c r="G120" s="155"/>
      <c r="H120" s="155"/>
      <c r="I120" s="155"/>
      <c r="J120" s="155"/>
      <c r="K120" s="155"/>
      <c r="L120" s="155"/>
      <c r="M120" s="155"/>
    </row>
    <row r="121" spans="2:13" x14ac:dyDescent="0.25">
      <c r="B121" s="155"/>
      <c r="C121" s="155"/>
      <c r="D121" s="155"/>
      <c r="E121" s="155"/>
      <c r="F121" s="155"/>
      <c r="G121" s="155"/>
      <c r="H121" s="155"/>
      <c r="I121" s="155"/>
      <c r="J121" s="155"/>
      <c r="K121" s="155"/>
      <c r="L121" s="155"/>
      <c r="M121" s="155"/>
    </row>
    <row r="122" spans="2:13" x14ac:dyDescent="0.25">
      <c r="B122" s="155"/>
      <c r="C122" s="155"/>
      <c r="D122" s="155"/>
      <c r="E122" s="155"/>
      <c r="F122" s="155"/>
      <c r="G122" s="155"/>
      <c r="H122" s="155"/>
      <c r="I122" s="155"/>
      <c r="J122" s="155"/>
      <c r="K122" s="155"/>
      <c r="L122" s="155"/>
      <c r="M122" s="155"/>
    </row>
    <row r="123" spans="2:13" x14ac:dyDescent="0.25">
      <c r="B123" s="155"/>
      <c r="C123" s="155"/>
      <c r="D123" s="155"/>
      <c r="E123" s="155"/>
      <c r="F123" s="155"/>
      <c r="G123" s="155"/>
      <c r="H123" s="155"/>
      <c r="I123" s="155"/>
      <c r="J123" s="155"/>
      <c r="K123" s="155"/>
      <c r="L123" s="155"/>
      <c r="M123" s="155"/>
    </row>
    <row r="124" spans="2:13" x14ac:dyDescent="0.25">
      <c r="B124" s="155"/>
      <c r="C124" s="155"/>
      <c r="D124" s="155"/>
      <c r="E124" s="155"/>
      <c r="F124" s="155"/>
      <c r="G124" s="155"/>
      <c r="H124" s="155"/>
      <c r="I124" s="155"/>
      <c r="J124" s="155"/>
      <c r="K124" s="155"/>
      <c r="L124" s="155"/>
      <c r="M124" s="155"/>
    </row>
    <row r="125" spans="2:13" x14ac:dyDescent="0.25">
      <c r="B125" s="155"/>
      <c r="C125" s="155"/>
      <c r="D125" s="155"/>
      <c r="E125" s="155"/>
      <c r="F125" s="155"/>
      <c r="G125" s="155"/>
      <c r="H125" s="155"/>
      <c r="I125" s="155"/>
      <c r="J125" s="155"/>
      <c r="K125" s="155"/>
      <c r="L125" s="155"/>
      <c r="M125" s="155"/>
    </row>
    <row r="126" spans="2:13" x14ac:dyDescent="0.25">
      <c r="B126" s="155"/>
      <c r="C126" s="155"/>
      <c r="D126" s="155"/>
      <c r="E126" s="155"/>
      <c r="F126" s="155"/>
      <c r="G126" s="155"/>
      <c r="H126" s="155"/>
      <c r="I126" s="155"/>
      <c r="J126" s="155"/>
      <c r="K126" s="155"/>
      <c r="L126" s="155"/>
      <c r="M126" s="155"/>
    </row>
    <row r="127" spans="2:13" x14ac:dyDescent="0.25">
      <c r="B127" s="155"/>
      <c r="C127" s="155"/>
      <c r="D127" s="155"/>
      <c r="E127" s="155"/>
      <c r="F127" s="155"/>
      <c r="G127" s="155"/>
      <c r="H127" s="155"/>
      <c r="I127" s="155"/>
      <c r="J127" s="155"/>
      <c r="K127" s="155"/>
      <c r="L127" s="155"/>
      <c r="M127" s="155"/>
    </row>
    <row r="128" spans="2:13" x14ac:dyDescent="0.25">
      <c r="B128" s="155"/>
      <c r="C128" s="155"/>
      <c r="D128" s="155"/>
      <c r="E128" s="155"/>
      <c r="F128" s="155"/>
      <c r="G128" s="155"/>
      <c r="H128" s="155"/>
      <c r="I128" s="155"/>
      <c r="J128" s="155"/>
      <c r="K128" s="155"/>
      <c r="L128" s="155"/>
      <c r="M128" s="155"/>
    </row>
    <row r="129" spans="2:13" x14ac:dyDescent="0.25">
      <c r="B129" s="155"/>
      <c r="C129" s="155"/>
      <c r="D129" s="155"/>
      <c r="E129" s="155"/>
      <c r="F129" s="155"/>
      <c r="G129" s="155"/>
      <c r="H129" s="155"/>
      <c r="I129" s="155"/>
      <c r="J129" s="155"/>
      <c r="K129" s="155"/>
      <c r="L129" s="155"/>
      <c r="M129" s="155"/>
    </row>
    <row r="130" spans="2:13" x14ac:dyDescent="0.25">
      <c r="B130" s="155"/>
      <c r="C130" s="155"/>
      <c r="D130" s="155"/>
      <c r="E130" s="155"/>
      <c r="F130" s="155"/>
      <c r="G130" s="155"/>
      <c r="H130" s="155"/>
      <c r="I130" s="155"/>
      <c r="J130" s="155"/>
      <c r="K130" s="155"/>
      <c r="L130" s="155"/>
      <c r="M130" s="155"/>
    </row>
    <row r="131" spans="2:13" x14ac:dyDescent="0.25">
      <c r="B131" s="155"/>
      <c r="C131" s="155"/>
      <c r="D131" s="155"/>
      <c r="E131" s="155"/>
      <c r="F131" s="155"/>
      <c r="G131" s="155"/>
      <c r="H131" s="155"/>
      <c r="I131" s="155"/>
      <c r="J131" s="155"/>
      <c r="K131" s="155"/>
      <c r="L131" s="155"/>
      <c r="M131" s="155"/>
    </row>
    <row r="132" spans="2:13" x14ac:dyDescent="0.25">
      <c r="B132" s="155"/>
      <c r="C132" s="155"/>
      <c r="D132" s="155"/>
      <c r="E132" s="155"/>
      <c r="F132" s="155"/>
      <c r="G132" s="155"/>
      <c r="H132" s="155"/>
      <c r="I132" s="155"/>
      <c r="J132" s="155"/>
      <c r="K132" s="155"/>
      <c r="L132" s="155"/>
      <c r="M132" s="155"/>
    </row>
    <row r="133" spans="2:13" x14ac:dyDescent="0.25">
      <c r="B133" s="155"/>
      <c r="C133" s="155"/>
      <c r="D133" s="155"/>
      <c r="E133" s="155"/>
      <c r="F133" s="155"/>
      <c r="G133" s="155"/>
      <c r="H133" s="155"/>
      <c r="I133" s="155"/>
      <c r="J133" s="155"/>
      <c r="K133" s="155"/>
      <c r="L133" s="155"/>
      <c r="M133" s="155"/>
    </row>
    <row r="134" spans="2:13" x14ac:dyDescent="0.25">
      <c r="B134" s="155"/>
      <c r="C134" s="155"/>
      <c r="D134" s="155"/>
      <c r="E134" s="155"/>
      <c r="F134" s="155"/>
      <c r="G134" s="155"/>
      <c r="H134" s="155"/>
      <c r="I134" s="155"/>
      <c r="J134" s="155"/>
      <c r="K134" s="155"/>
      <c r="L134" s="155"/>
      <c r="M134" s="155"/>
    </row>
  </sheetData>
  <sheetProtection algorithmName="SHA-512" hashValue="Mef+hIQs5B6o78QKBgrqW97bKiJDpOkdHLmIHLc5//Zz+fVBphQ/o+aOPMedmQq3aFfiWrgJsLabujNev7jQmw==" saltValue="PMTyuN1u25esci1cgp3eqA==" spinCount="100000" sheet="1" objects="1" scenarios="1"/>
  <mergeCells count="41">
    <mergeCell ref="B37:M37"/>
    <mergeCell ref="B40:M40"/>
    <mergeCell ref="B57:M57"/>
    <mergeCell ref="B3:N5"/>
    <mergeCell ref="B7:M7"/>
    <mergeCell ref="B27:M27"/>
    <mergeCell ref="B44:M44"/>
    <mergeCell ref="B46:M46"/>
    <mergeCell ref="B90:M90"/>
    <mergeCell ref="B87:M87"/>
    <mergeCell ref="B52:M52"/>
    <mergeCell ref="B53:M53"/>
    <mergeCell ref="B54:M54"/>
    <mergeCell ref="B55:M55"/>
    <mergeCell ref="B59:M59"/>
    <mergeCell ref="B63:M63"/>
    <mergeCell ref="B64:M64"/>
    <mergeCell ref="B73:M73"/>
    <mergeCell ref="B81:N81"/>
    <mergeCell ref="B75:N75"/>
    <mergeCell ref="D76:I76"/>
    <mergeCell ref="D82:H82"/>
    <mergeCell ref="D88:H88"/>
    <mergeCell ref="B83:M83"/>
    <mergeCell ref="B98:M98"/>
    <mergeCell ref="B97:M97"/>
    <mergeCell ref="B96:M96"/>
    <mergeCell ref="B92:M92"/>
    <mergeCell ref="B91:M91"/>
    <mergeCell ref="B94:N94"/>
    <mergeCell ref="D95:J95"/>
    <mergeCell ref="B77:M77"/>
    <mergeCell ref="B78:M78"/>
    <mergeCell ref="B47:M47"/>
    <mergeCell ref="B48:M48"/>
    <mergeCell ref="B49:M49"/>
    <mergeCell ref="B51:M51"/>
    <mergeCell ref="B67:M67"/>
    <mergeCell ref="B62:M62"/>
    <mergeCell ref="B65:M65"/>
    <mergeCell ref="B50:M50"/>
  </mergeCells>
  <hyperlinks>
    <hyperlink ref="D76" r:id="rId1" xr:uid="{29617B0C-6638-4DA5-983E-6AE74AFB2173}"/>
    <hyperlink ref="D82" r:id="rId2" location="." xr:uid="{6D62559A-BC37-45DC-9AA3-1B3A989742E5}"/>
    <hyperlink ref="D88" r:id="rId3" xr:uid="{D8D1447B-9ECE-4098-9FFE-64269B9ED85C}"/>
    <hyperlink ref="D95" r:id="rId4" xr:uid="{7BA0D859-90C9-47FC-B4F0-9A8B07E4BD3F}"/>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F8E3-DC30-4251-8DB2-7803AADAE64F}">
  <dimension ref="B2:M12"/>
  <sheetViews>
    <sheetView showRowColHeaders="0" zoomScaleNormal="100" workbookViewId="0">
      <selection activeCell="D7" sqref="D7:K7"/>
    </sheetView>
  </sheetViews>
  <sheetFormatPr defaultColWidth="9.140625" defaultRowHeight="15" x14ac:dyDescent="0.25"/>
  <cols>
    <col min="1" max="1" width="9.140625" style="152"/>
    <col min="2" max="2" width="3.7109375" style="152" customWidth="1"/>
    <col min="3" max="3" width="30.5703125" style="152" customWidth="1"/>
    <col min="4" max="4" width="11.28515625" style="152" bestFit="1" customWidth="1"/>
    <col min="5" max="10" width="9.140625" style="152"/>
    <col min="11" max="11" width="10.28515625" style="152" customWidth="1"/>
    <col min="12" max="12" width="4.140625" style="152" customWidth="1"/>
    <col min="13" max="16384" width="9.140625" style="152"/>
  </cols>
  <sheetData>
    <row r="2" spans="2:13" ht="15.75" thickBot="1" x14ac:dyDescent="0.3"/>
    <row r="3" spans="2:13" ht="15.75" customHeight="1" thickTop="1" x14ac:dyDescent="0.25">
      <c r="B3" s="235" t="s">
        <v>71</v>
      </c>
      <c r="C3" s="236"/>
      <c r="D3" s="236"/>
      <c r="E3" s="236"/>
      <c r="F3" s="236"/>
      <c r="G3" s="236"/>
      <c r="H3" s="236"/>
      <c r="I3" s="236"/>
      <c r="J3" s="236"/>
      <c r="K3" s="236"/>
      <c r="L3" s="237"/>
    </row>
    <row r="4" spans="2:13" ht="15" customHeight="1" x14ac:dyDescent="0.25">
      <c r="B4" s="238"/>
      <c r="C4" s="239"/>
      <c r="D4" s="239"/>
      <c r="E4" s="239"/>
      <c r="F4" s="239"/>
      <c r="G4" s="239"/>
      <c r="H4" s="239"/>
      <c r="I4" s="239"/>
      <c r="J4" s="239"/>
      <c r="K4" s="239"/>
      <c r="L4" s="240"/>
    </row>
    <row r="5" spans="2:13" ht="15" customHeight="1" x14ac:dyDescent="0.25">
      <c r="B5" s="238"/>
      <c r="C5" s="239"/>
      <c r="D5" s="239"/>
      <c r="E5" s="239"/>
      <c r="F5" s="239"/>
      <c r="G5" s="239"/>
      <c r="H5" s="239"/>
      <c r="I5" s="239"/>
      <c r="J5" s="239"/>
      <c r="K5" s="239"/>
      <c r="L5" s="240"/>
    </row>
    <row r="6" spans="2:13" ht="21" customHeight="1" x14ac:dyDescent="0.25">
      <c r="B6" s="146"/>
      <c r="C6" s="163"/>
      <c r="D6" s="163"/>
      <c r="E6" s="163"/>
      <c r="F6" s="163"/>
      <c r="G6" s="163"/>
      <c r="H6" s="163"/>
      <c r="I6" s="163"/>
      <c r="J6" s="163"/>
      <c r="K6" s="163"/>
      <c r="L6" s="124"/>
    </row>
    <row r="7" spans="2:13" ht="18" thickBot="1" x14ac:dyDescent="0.3">
      <c r="B7" s="146"/>
      <c r="C7" s="70" t="s">
        <v>72</v>
      </c>
      <c r="D7" s="265"/>
      <c r="E7" s="265"/>
      <c r="F7" s="265"/>
      <c r="G7" s="265"/>
      <c r="H7" s="265"/>
      <c r="I7" s="265"/>
      <c r="J7" s="265"/>
      <c r="K7" s="265"/>
      <c r="L7" s="165"/>
      <c r="M7" s="160"/>
    </row>
    <row r="8" spans="2:13" ht="35.25" customHeight="1" thickBot="1" x14ac:dyDescent="0.3">
      <c r="B8" s="146"/>
      <c r="C8" s="55" t="s">
        <v>73</v>
      </c>
      <c r="D8" s="266"/>
      <c r="E8" s="266"/>
      <c r="F8" s="266"/>
      <c r="G8" s="266"/>
      <c r="H8" s="266"/>
      <c r="I8" s="266"/>
      <c r="J8" s="266"/>
      <c r="K8" s="266"/>
      <c r="L8" s="164"/>
    </row>
    <row r="9" spans="2:13" ht="39.75" customHeight="1" thickBot="1" x14ac:dyDescent="0.3">
      <c r="B9" s="146"/>
      <c r="C9" s="168" t="s">
        <v>74</v>
      </c>
      <c r="D9" s="266"/>
      <c r="E9" s="266"/>
      <c r="F9" s="266"/>
      <c r="G9" s="266"/>
      <c r="H9" s="266"/>
      <c r="I9" s="266"/>
      <c r="J9" s="266"/>
      <c r="K9" s="266"/>
      <c r="L9" s="166"/>
    </row>
    <row r="10" spans="2:13" ht="97.5" customHeight="1" x14ac:dyDescent="0.25">
      <c r="B10" s="146"/>
      <c r="C10" s="169" t="s">
        <v>75</v>
      </c>
      <c r="D10" s="267"/>
      <c r="E10" s="267"/>
      <c r="F10" s="267"/>
      <c r="G10" s="267"/>
      <c r="H10" s="267"/>
      <c r="I10" s="267"/>
      <c r="J10" s="267"/>
      <c r="K10" s="267"/>
      <c r="L10" s="166"/>
    </row>
    <row r="11" spans="2:13" ht="18.75" customHeight="1" thickBot="1" x14ac:dyDescent="0.3">
      <c r="B11" s="167"/>
      <c r="C11" s="149"/>
      <c r="D11" s="149"/>
      <c r="E11" s="149"/>
      <c r="F11" s="149"/>
      <c r="G11" s="149"/>
      <c r="H11" s="149"/>
      <c r="I11" s="149"/>
      <c r="J11" s="149"/>
      <c r="K11" s="149"/>
      <c r="L11" s="150"/>
    </row>
    <row r="12" spans="2:13" ht="15.75" thickTop="1" x14ac:dyDescent="0.25"/>
  </sheetData>
  <sheetProtection algorithmName="SHA-512" hashValue="/1oBC49lmE8FPo68jo+3GlVdyquZV/pmR00xMx/PxHcTNhlcv8wKVEMLiDklpSumsgbxIe2bEDv/QKChxguywA==" saltValue="S/1dwIhMN/yFcZ0uycibhg==" spinCount="100000" sheet="1" objects="1" scenarios="1" selectLockedCells="1"/>
  <protectedRanges>
    <protectedRange algorithmName="SHA-512" hashValue="SHG10UZqZcCCj1TlE0oMrNwpbuNqhSNbZCwxpw++PI3Kxkmq2fWr9Ho16Rbx5ot4bT8+4oJGur23Sg/eixRu2g==" saltValue="jl/WveE0aj4CwYBOiCOlBg==" spinCount="100000" sqref="D7:K10" name="Range1"/>
  </protectedRanges>
  <mergeCells count="5">
    <mergeCell ref="B3:L5"/>
    <mergeCell ref="D7:K7"/>
    <mergeCell ref="D8:K8"/>
    <mergeCell ref="D9:K9"/>
    <mergeCell ref="D10:K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5EC83-D5C1-4D5C-99F6-1378213F0706}">
  <dimension ref="A3:N38"/>
  <sheetViews>
    <sheetView showRowColHeaders="0" topLeftCell="A9" zoomScaleNormal="100" workbookViewId="0">
      <selection activeCell="D14" sqref="D14"/>
    </sheetView>
  </sheetViews>
  <sheetFormatPr defaultColWidth="9.140625" defaultRowHeight="15" x14ac:dyDescent="0.25"/>
  <cols>
    <col min="1" max="1" width="9.28515625" style="175" customWidth="1"/>
    <col min="2" max="2" width="4.85546875" style="175" customWidth="1"/>
    <col min="3" max="3" width="33.28515625" style="175" customWidth="1"/>
    <col min="4" max="4" width="26.85546875" style="175" customWidth="1"/>
    <col min="5" max="5" width="11.42578125" style="175" customWidth="1"/>
    <col min="6" max="6" width="17.42578125" style="175" customWidth="1"/>
    <col min="7" max="7" width="33.28515625" style="175" customWidth="1"/>
    <col min="8" max="8" width="14.140625" style="175" customWidth="1"/>
    <col min="9" max="9" width="9" style="175" customWidth="1"/>
    <col min="10" max="10" width="2" style="175" customWidth="1"/>
    <col min="11" max="11" width="7.140625" style="175" customWidth="1"/>
    <col min="12" max="16384" width="9.140625" style="175"/>
  </cols>
  <sheetData>
    <row r="3" spans="1:12" x14ac:dyDescent="0.25">
      <c r="A3" s="179"/>
      <c r="B3" s="268" t="s">
        <v>76</v>
      </c>
      <c r="C3" s="269"/>
      <c r="D3" s="269"/>
      <c r="E3" s="269"/>
      <c r="F3" s="269"/>
      <c r="G3" s="269"/>
      <c r="H3" s="269"/>
      <c r="I3" s="269"/>
      <c r="J3" s="270"/>
    </row>
    <row r="4" spans="1:12" x14ac:dyDescent="0.25">
      <c r="A4" s="179"/>
      <c r="B4" s="268"/>
      <c r="C4" s="269"/>
      <c r="D4" s="269"/>
      <c r="E4" s="269"/>
      <c r="F4" s="269"/>
      <c r="G4" s="269"/>
      <c r="H4" s="269"/>
      <c r="I4" s="269"/>
      <c r="J4" s="270"/>
    </row>
    <row r="5" spans="1:12" x14ac:dyDescent="0.25">
      <c r="A5" s="179"/>
      <c r="B5" s="268"/>
      <c r="C5" s="269"/>
      <c r="D5" s="269"/>
      <c r="E5" s="269"/>
      <c r="F5" s="269"/>
      <c r="G5" s="269"/>
      <c r="H5" s="269"/>
      <c r="I5" s="269"/>
      <c r="J5" s="270"/>
    </row>
    <row r="6" spans="1:12" ht="17.25" x14ac:dyDescent="0.25">
      <c r="A6" s="179"/>
      <c r="B6" s="1"/>
      <c r="C6" s="1"/>
      <c r="D6" s="1"/>
      <c r="E6" s="1"/>
      <c r="F6" s="1"/>
      <c r="G6" s="1"/>
      <c r="H6" s="1"/>
      <c r="I6" s="1"/>
      <c r="J6" s="124"/>
      <c r="L6" s="176"/>
    </row>
    <row r="7" spans="1:12" ht="18" customHeight="1" x14ac:dyDescent="0.35">
      <c r="A7" s="179"/>
      <c r="B7" s="1"/>
      <c r="C7" s="273" t="s">
        <v>77</v>
      </c>
      <c r="D7" s="273"/>
      <c r="E7" s="1"/>
      <c r="F7" s="1"/>
      <c r="G7" s="4"/>
      <c r="H7" s="5"/>
      <c r="I7" s="5"/>
      <c r="J7" s="170"/>
      <c r="L7" s="177"/>
    </row>
    <row r="8" spans="1:12" ht="12" customHeight="1" x14ac:dyDescent="0.35">
      <c r="A8" s="179"/>
      <c r="B8" s="1"/>
      <c r="C8" s="1"/>
      <c r="D8" s="1"/>
      <c r="E8" s="1"/>
      <c r="F8" s="1"/>
      <c r="G8" s="3"/>
      <c r="H8" s="3"/>
      <c r="I8" s="3"/>
      <c r="J8" s="171"/>
      <c r="L8" s="177"/>
    </row>
    <row r="9" spans="1:12" ht="22.5" customHeight="1" thickBot="1" x14ac:dyDescent="0.4">
      <c r="A9" s="179"/>
      <c r="B9" s="1"/>
      <c r="C9" s="68" t="s">
        <v>78</v>
      </c>
      <c r="D9" s="112">
        <v>44927</v>
      </c>
      <c r="E9" s="1"/>
      <c r="F9" s="1"/>
      <c r="G9" s="1"/>
      <c r="H9" s="82"/>
      <c r="I9" s="3"/>
      <c r="J9" s="171"/>
      <c r="L9" s="177"/>
    </row>
    <row r="10" spans="1:12" ht="21" customHeight="1" thickBot="1" x14ac:dyDescent="0.4">
      <c r="A10" s="179"/>
      <c r="B10" s="1"/>
      <c r="C10" s="67" t="s">
        <v>79</v>
      </c>
      <c r="D10" s="113">
        <v>2.4</v>
      </c>
      <c r="E10" s="6"/>
      <c r="F10" s="6"/>
      <c r="G10" s="272" t="str">
        <f>IFERROR(IF(AND($D$9&lt;DATE(2025,1,1),OR((VLOOKUP($D$14,Lookups!$C$8:$G$13,2,FALSE))&gt;(VLOOKUP($D$14,Lookups!$C$8:$G$13,4,FALSE)),(VLOOKUP($D$14,Lookups!$C$8:$G$13,3,FALSE))&gt;(VLOOKUP($D$14,Lookups!$C$8:$G$13,5,FALSE)))),"A nutrient permit is changing for the selected WwTW as of 01/01/2025. Therefore, two nutrient budgets will be calculated for the loading before and after the 2025 WwTW permit upgrade.",""),"")</f>
        <v>A nutrient permit is changing for the selected WwTW as of 01/01/2025. Therefore, two nutrient budgets will be calculated for the loading before and after the 2025 WwTW permit upgrade.</v>
      </c>
      <c r="H10" s="82"/>
      <c r="I10" s="3"/>
      <c r="J10" s="171"/>
      <c r="K10" s="176"/>
      <c r="L10" s="178"/>
    </row>
    <row r="11" spans="1:12" ht="30.75" customHeight="1" thickBot="1" x14ac:dyDescent="0.3">
      <c r="A11" s="179"/>
      <c r="B11" s="1"/>
      <c r="C11" s="67" t="s">
        <v>80</v>
      </c>
      <c r="D11" s="114">
        <v>120</v>
      </c>
      <c r="E11" s="7"/>
      <c r="F11" s="7"/>
      <c r="G11" s="272"/>
      <c r="H11" s="82"/>
      <c r="I11" s="7"/>
      <c r="J11" s="164"/>
      <c r="K11" s="177"/>
      <c r="L11" s="178"/>
    </row>
    <row r="12" spans="1:12" ht="36" customHeight="1" x14ac:dyDescent="0.25">
      <c r="A12" s="179"/>
      <c r="B12" s="1"/>
      <c r="C12" s="67" t="s">
        <v>81</v>
      </c>
      <c r="D12" s="115">
        <v>1</v>
      </c>
      <c r="E12" s="8"/>
      <c r="F12" s="8"/>
      <c r="G12" s="272"/>
      <c r="H12" s="82"/>
      <c r="I12" s="8"/>
      <c r="J12" s="166"/>
      <c r="K12" s="178"/>
    </row>
    <row r="13" spans="1:12" ht="36" customHeight="1" thickBot="1" x14ac:dyDescent="0.3">
      <c r="A13" s="179"/>
      <c r="B13" s="1"/>
      <c r="C13" s="67" t="s">
        <v>82</v>
      </c>
      <c r="D13" s="115" t="s">
        <v>83</v>
      </c>
      <c r="E13" s="8"/>
      <c r="F13" s="8"/>
      <c r="G13" s="272"/>
      <c r="H13" s="82"/>
      <c r="I13" s="8"/>
      <c r="J13" s="166"/>
      <c r="K13" s="178"/>
    </row>
    <row r="14" spans="1:12" ht="50.25" customHeight="1" x14ac:dyDescent="0.25">
      <c r="A14" s="179"/>
      <c r="B14" s="1"/>
      <c r="C14" s="69" t="s">
        <v>84</v>
      </c>
      <c r="D14" s="116" t="s">
        <v>85</v>
      </c>
      <c r="E14" s="8"/>
      <c r="F14" s="1"/>
      <c r="G14" s="272"/>
      <c r="H14" s="82"/>
      <c r="I14" s="8"/>
      <c r="J14" s="166"/>
      <c r="K14" s="178"/>
    </row>
    <row r="15" spans="1:12" ht="50.25" customHeight="1" thickBot="1" x14ac:dyDescent="0.3">
      <c r="A15" s="179"/>
      <c r="B15" s="1"/>
      <c r="C15" s="15" t="s">
        <v>86</v>
      </c>
      <c r="D15" s="80">
        <f>(IFERROR(IF(OR(D14="Package Treatment Plant user defined",D14="Septic Tank user defined"),"Please enter value in cell to the right:",IF('Stage 1'!D9&lt;DATE(2025,1,1),VLOOKUP('Stage 1'!D14,Lookups!C8:G16,2,FALSE),VLOOKUP('Stage 1'!D14,Lookups!C8:G15,4,FALSE))),""))</f>
        <v>1</v>
      </c>
      <c r="E15" s="117"/>
      <c r="F15" s="83" t="str">
        <f>IFERROR(IF(AND($D$9&lt;DATE(2025,1,1),(VLOOKUP($D$14,Lookups!$C$8:$G$13,2,FALSE))&gt;(VLOOKUP($D$14,Lookups!$C$8:$G$13,4,FALSE))), "Post 2025 WwTW P permit:",""),"")</f>
        <v>Post 2025 WwTW P permit:</v>
      </c>
      <c r="G15" s="85">
        <f>IFERROR(IF(AND($D$9&lt;DATE(2025,1,1),(VLOOKUP($D$14,Lookups!$C$8:$G$13,2,FALSE))&gt;(VLOOKUP($D$14,Lookups!$C$8:$G$13,4,FALSE))), VLOOKUP('Stage 1'!D14,Lookups!C8:G16,4,FALSE),""),"")</f>
        <v>0.25</v>
      </c>
      <c r="H15" s="26" t="str">
        <f>IFERROR(IF(AND($D$9&lt;DATE(2025,1,1),(VLOOKUP($D$14,Lookups!$C$8:$G$13,2,FALSE))&gt;(VLOOKUP($D$14,Lookups!$C$8:$G$13,4,FALSE))), "mg TP/litre",""),"")</f>
        <v>mg TP/litre</v>
      </c>
      <c r="I15" s="8"/>
      <c r="J15" s="124"/>
      <c r="K15" s="178"/>
    </row>
    <row r="16" spans="1:12" ht="50.25" customHeight="1" x14ac:dyDescent="0.25">
      <c r="A16" s="179"/>
      <c r="B16" s="1"/>
      <c r="C16" s="66" t="s">
        <v>87</v>
      </c>
      <c r="D16" s="81">
        <f>IFERROR(IF(OR(D14="Package Treatment Plant user defined",D14="Septic Tank user defined"),"Please enter value in cell to the right:",IF(AND('Stage 1'!D9&lt;DATE(2025,1,1),D13="Yes"),VLOOKUP('Stage 1'!D14,Lookups!$C$8:$I$15,6,FALSE),IF(AND('Stage 1'!D9&lt;DATE(2025,1,1),D13="No"),VLOOKUP('Stage 1'!D14,Lookups!$C$8:$I$15,3,FALSE),IF(AND('Stage 1'!D9&gt;DATE(2025,1,1),D13="Yes"),VLOOKUP('Stage 1'!D14,Lookups!$C$8:$I$15,7,FALSE),IF(AND('Stage 1'!D9&gt;DATE(2025,1,1),D13="No"),VLOOKUP('Stage 1'!D14,Lookups!$C$8:$I$15,5,FALSE),""))))),"")</f>
        <v>27</v>
      </c>
      <c r="E16" s="117"/>
      <c r="F16" s="84" t="str">
        <f>IFERROR(IF(AND($D$9&lt;DATE(2025,1,1),(VLOOKUP($D$14,Lookups!$C$8:$G$13,3,FALSE))&gt;(VLOOKUP($D$14,Lookups!$C$8:$G$13,5,FALSE))), "Post 2025 WwTW N permit:",""),"")</f>
        <v/>
      </c>
      <c r="G16" s="85" t="str">
        <f>IFERROR(IF(AND($D$9&lt;DATE(2025,1,1),(VLOOKUP($D$14,Lookups!$C$8:$G$13,3,FALSE))&gt;(VLOOKUP($D$14,Lookups!$C$8:$G$13,5,FALSE))), VLOOKUP('Stage 1'!D14,Lookups!$C$8:$G$16,5,FALSE),""),"")</f>
        <v/>
      </c>
      <c r="H16" s="26" t="str">
        <f>IFERROR(IF(AND($D$9&lt;DATE(2025,1,1),(VLOOKUP($D$14,Lookups!$C$8:$G$13,3,FALSE))&gt;(VLOOKUP($D$14,Lookups!$C$8:$G$13,5,FALSE))), "mg TN/litre",""),"")</f>
        <v/>
      </c>
      <c r="I16" s="8"/>
      <c r="J16" s="166"/>
      <c r="K16" s="178"/>
    </row>
    <row r="17" spans="1:14" ht="18" customHeight="1" x14ac:dyDescent="0.25">
      <c r="A17" s="179"/>
      <c r="B17" s="1"/>
      <c r="C17" s="1"/>
      <c r="D17" s="1"/>
      <c r="E17" s="1"/>
      <c r="F17" s="1"/>
      <c r="G17" s="1"/>
      <c r="H17" s="1"/>
      <c r="I17" s="1"/>
      <c r="J17" s="124"/>
    </row>
    <row r="18" spans="1:14" ht="18" x14ac:dyDescent="0.25">
      <c r="A18" s="179"/>
      <c r="B18" s="1"/>
      <c r="C18" s="273" t="s">
        <v>88</v>
      </c>
      <c r="D18" s="273"/>
      <c r="E18" s="1"/>
      <c r="F18" s="1"/>
      <c r="G18" s="1"/>
      <c r="H18" s="1"/>
      <c r="I18" s="1"/>
      <c r="J18" s="124"/>
    </row>
    <row r="19" spans="1:14" x14ac:dyDescent="0.25">
      <c r="A19" s="179"/>
      <c r="B19" s="1"/>
      <c r="C19" s="1"/>
      <c r="D19" s="1"/>
      <c r="E19" s="1"/>
      <c r="F19" s="1"/>
      <c r="G19" s="1"/>
      <c r="H19" s="1"/>
      <c r="I19" s="1"/>
      <c r="J19" s="172"/>
    </row>
    <row r="20" spans="1:14" ht="3.75" customHeight="1" x14ac:dyDescent="0.25">
      <c r="A20" s="179"/>
      <c r="B20" s="1"/>
      <c r="C20" s="1"/>
      <c r="D20" s="1"/>
      <c r="E20" s="1"/>
      <c r="F20" s="1"/>
      <c r="G20" s="1"/>
      <c r="H20" s="1"/>
      <c r="I20" s="1"/>
      <c r="J20" s="172"/>
      <c r="N20" s="175" t="s">
        <v>89</v>
      </c>
    </row>
    <row r="21" spans="1:14" ht="17.25" x14ac:dyDescent="0.3">
      <c r="A21" s="179"/>
      <c r="B21" s="1"/>
      <c r="C21" s="271" t="str">
        <f>IFERROR(IF(AND($D$9&lt;DATE(2025,1,1),OR((VLOOKUP($D$14,Lookups!$C$8:$G$13,2,FALSE))&gt;(VLOOKUP($D$14,Lookups!$C$8:$G$13,4,FALSE)),(VLOOKUP($D$14,Lookups!$C$8:$G$13,3,FALSE))&gt;(VLOOKUP($D$14,Lookups!$C$8:$G$13,5,FALSE)))),"Post-2025 Stage 1 Nutrient Loading","Stage 1 Nutrient Loading"),"")</f>
        <v>Post-2025 Stage 1 Nutrient Loading</v>
      </c>
      <c r="D21" s="271"/>
      <c r="E21" s="1"/>
      <c r="F21" s="1"/>
      <c r="G21" s="271" t="str">
        <f>IFERROR(IF(AND($D$9&lt;DATE(2025,1,1),OR((VLOOKUP($D$14,Lookups!$C$8:$G$13,2,FALSE))&gt;(VLOOKUP($D$14,Lookups!$C$8:$G$13,4,FALSE)),(VLOOKUP($D$14,Lookups!$C$8:$G$13,3,FALSE))&gt;(VLOOKUP($D$14,Lookups!$C$8:$G$13,5,FALSE)))),"Pre-2025 Stage 1 Nutrient Loading",""),"")</f>
        <v>Pre-2025 Stage 1 Nutrient Loading</v>
      </c>
      <c r="H21" s="271"/>
      <c r="I21" s="1"/>
      <c r="J21" s="124"/>
    </row>
    <row r="22" spans="1:14" hidden="1" x14ac:dyDescent="0.25">
      <c r="A22" s="179"/>
      <c r="B22" s="1"/>
      <c r="C22" s="1"/>
      <c r="D22" s="1"/>
      <c r="E22" s="1"/>
      <c r="F22" s="1"/>
      <c r="G22" s="1"/>
      <c r="H22" s="1"/>
      <c r="I22" s="1"/>
      <c r="J22" s="172"/>
    </row>
    <row r="23" spans="1:14" ht="17.25" thickBot="1" x14ac:dyDescent="0.35">
      <c r="A23" s="179"/>
      <c r="B23" s="1"/>
      <c r="C23" s="57" t="s">
        <v>90</v>
      </c>
      <c r="D23" s="58">
        <f>IF(ISBLANK(D12),"",D10*D12)</f>
        <v>2.4</v>
      </c>
      <c r="E23" s="28" t="s">
        <v>91</v>
      </c>
      <c r="F23" s="1"/>
      <c r="G23" s="19" t="str">
        <f>IFERROR(IF(AND($D$9&lt;DATE(2025,1,1),OR((VLOOKUP($D$14,Lookups!$C$8:$G$13,2,FALSE))&gt;(VLOOKUP($D$14,Lookups!$C$8:$G$13,4,FALSE)),(VLOOKUP($D$14,Lookups!$C$8:$G$13,3,FALSE))&gt;(VLOOKUP($D$14,Lookups!$C$8:$G$13,5,FALSE)))),"Annual wastewater TP load:",""),"")</f>
        <v>Annual wastewater TP load:</v>
      </c>
      <c r="H23" s="21">
        <f>IFERROR(IF(AND($D$9&lt;DATE(2025,1,1),OR((VLOOKUP($D$14,Lookups!$C$8:$G$13,2,FALSE))&gt;(VLOOKUP($D$14,Lookups!$C$8:$G$13,4,FALSE)),(VLOOKUP($D$14,Lookups!$C$8:$G$13,3,FALSE))&gt;(VLOOKUP($D$14,Lookups!$C$8:$G$13,5,FALSE)))),IF(D15=8,(D15*D$24)/1000000*365.25,(D15*D$24*0.9)/1000000*365.25),""),"")</f>
        <v>9.4672800000000001E-2</v>
      </c>
      <c r="I23" s="28" t="str">
        <f>IFERROR(IF(AND($D$9&lt;DATE(2025,1,1),OR((VLOOKUP($D$14,Lookups!$C$8:$G$13,2,FALSE))&gt;(VLOOKUP($D$14,Lookups!$C$8:$G$13,4,FALSE)),(VLOOKUP($D$14,Lookups!$C$8:$G$13,3,FALSE))&gt;(VLOOKUP($D$14,Lookups!$C$8:$G$13,5,FALSE)))),"kg TP/yr",""),"")</f>
        <v>kg TP/yr</v>
      </c>
      <c r="J23" s="173"/>
    </row>
    <row r="24" spans="1:14" ht="15.75" thickBot="1" x14ac:dyDescent="0.3">
      <c r="A24" s="179"/>
      <c r="B24" s="1"/>
      <c r="C24" s="27" t="s">
        <v>92</v>
      </c>
      <c r="D24" s="56">
        <f>IFERROR(D23*D11,"")</f>
        <v>288</v>
      </c>
      <c r="E24" s="28" t="s">
        <v>93</v>
      </c>
      <c r="F24" s="1"/>
      <c r="G24" s="19" t="str">
        <f>IFERROR(IF(AND($D$9&lt;DATE(2025,1,1),OR((VLOOKUP($D$14,Lookups!$C$8:$G$13,2,FALSE))&gt;(VLOOKUP($D$14,Lookups!$C$8:$G$13,4,FALSE)),(VLOOKUP($D$14,Lookups!$C$8:$G$13,3,FALSE))&gt;(VLOOKUP($D$14,Lookups!$C$8:$G$13,5,FALSE)))),"Annual wastewater TN load:",""),"")</f>
        <v>Annual wastewater TN load:</v>
      </c>
      <c r="H24" s="21">
        <f>IFERROR(IF(AND($D$9&lt;DATE(2025,1,1),OR((VLOOKUP($D$14,Lookups!$C$8:$G$13,2,FALSE))&gt;(VLOOKUP($D$14,Lookups!$C$8:$G$13,4,FALSE)),(VLOOKUP($D$14,Lookups!$C$8:$G$13,3,FALSE))&gt;(VLOOKUP($D$14,Lookups!$C$8:$G$13,5,FALSE)))),IF(D16=25,(D16*D$24)/1000000*365.25,(D16*D$24*0.9)/1000000*365.25),""),"")</f>
        <v>2.5561656000000004</v>
      </c>
      <c r="I24" s="28" t="str">
        <f>IFERROR(IF(AND($D$9&lt;DATE(2025,1,1),OR((VLOOKUP($D$14,Lookups!$C$8:$G$13,2,FALSE))&gt;(VLOOKUP($D$14,Lookups!$C$8:$G$13,4,FALSE)),(VLOOKUP($D$14,Lookups!$C$8:$G$13,3,FALSE))&gt;(VLOOKUP($D$14,Lookups!$C$8:$G$13,5,FALSE)))),"kg TN/yr",""),"")</f>
        <v>kg TN/yr</v>
      </c>
      <c r="J24" s="124"/>
    </row>
    <row r="25" spans="1:14" hidden="1" x14ac:dyDescent="0.25">
      <c r="A25" s="179"/>
      <c r="B25" s="1"/>
      <c r="C25" s="1"/>
      <c r="D25" s="1"/>
      <c r="E25" s="86"/>
      <c r="F25" s="1"/>
      <c r="G25" s="1"/>
      <c r="H25" s="1"/>
      <c r="I25" s="86"/>
      <c r="J25" s="124"/>
    </row>
    <row r="26" spans="1:14" hidden="1" x14ac:dyDescent="0.25">
      <c r="A26" s="179"/>
      <c r="B26" s="1"/>
      <c r="C26" s="1"/>
      <c r="D26" s="1"/>
      <c r="E26" s="86"/>
      <c r="F26" s="1"/>
      <c r="G26" s="89"/>
      <c r="H26" s="89"/>
      <c r="I26" s="90"/>
      <c r="J26" s="174"/>
    </row>
    <row r="27" spans="1:14" ht="15.75" hidden="1" thickBot="1" x14ac:dyDescent="0.3">
      <c r="A27" s="179"/>
      <c r="B27" s="1"/>
      <c r="C27" s="57" t="s">
        <v>94</v>
      </c>
      <c r="D27" s="58">
        <f>IFERROR(IF(ISNUMBER(G15),G15*D24*0.9,IF(D15="Please enter value in cell to the right:",IF(AND(D15="Please enter value in cell to the right:",ISNUMBER(E15)),D24*E15, VLOOKUP((LEFT(D14,(LEN(D14)-13))&amp;" default"),Lookups!C12:E13,2,FALSE)*D24),IF(OR(D14="Package Treatment Plant default",D14="Septic Tank default"),D15*D24,IF(D15=8,D15*D24,D15*D24*0.9)))),"")</f>
        <v>64.8</v>
      </c>
      <c r="E27" s="28" t="s">
        <v>95</v>
      </c>
      <c r="F27" s="1"/>
      <c r="G27" s="91"/>
      <c r="H27" s="89"/>
      <c r="I27" s="89"/>
      <c r="J27" s="174"/>
    </row>
    <row r="28" spans="1:14" ht="15.75" hidden="1" thickBot="1" x14ac:dyDescent="0.3">
      <c r="A28" s="179"/>
      <c r="B28" s="1"/>
      <c r="C28" s="27" t="s">
        <v>96</v>
      </c>
      <c r="D28" s="56">
        <f>IFERROR($D$27/1000000,"")</f>
        <v>6.4800000000000003E-5</v>
      </c>
      <c r="E28" s="28" t="s">
        <v>97</v>
      </c>
      <c r="F28" s="1"/>
      <c r="G28" s="91"/>
      <c r="H28" s="95"/>
      <c r="I28" s="92"/>
      <c r="J28" s="174"/>
    </row>
    <row r="29" spans="1:14" ht="15.75" hidden="1" thickBot="1" x14ac:dyDescent="0.3">
      <c r="A29" s="179"/>
      <c r="B29" s="1"/>
      <c r="C29" s="59" t="s">
        <v>98</v>
      </c>
      <c r="D29" s="61">
        <f>IFERROR($D$28*365.25,"")</f>
        <v>2.36682E-2</v>
      </c>
      <c r="E29" s="28" t="s">
        <v>99</v>
      </c>
      <c r="F29" s="1"/>
      <c r="G29" s="91"/>
      <c r="H29" s="96"/>
      <c r="I29" s="92"/>
      <c r="J29" s="174"/>
    </row>
    <row r="30" spans="1:14" x14ac:dyDescent="0.25">
      <c r="A30" s="179"/>
      <c r="B30" s="1"/>
      <c r="C30" s="60" t="s">
        <v>100</v>
      </c>
      <c r="D30" s="62">
        <f>D29</f>
        <v>2.36682E-2</v>
      </c>
      <c r="E30" s="87" t="s">
        <v>99</v>
      </c>
      <c r="F30" s="1"/>
      <c r="G30" s="93"/>
      <c r="H30" s="97"/>
      <c r="I30" s="94"/>
      <c r="J30" s="174"/>
    </row>
    <row r="31" spans="1:14" hidden="1" x14ac:dyDescent="0.25">
      <c r="A31" s="179"/>
      <c r="B31" s="1"/>
      <c r="C31" s="1"/>
      <c r="D31" s="1"/>
      <c r="E31" s="86"/>
      <c r="F31" s="1"/>
      <c r="G31" s="89"/>
      <c r="H31" s="89"/>
      <c r="I31" s="90"/>
      <c r="J31" s="174"/>
    </row>
    <row r="32" spans="1:14" hidden="1" x14ac:dyDescent="0.25">
      <c r="A32" s="179"/>
      <c r="B32" s="1"/>
      <c r="C32" s="1"/>
      <c r="D32" s="1"/>
      <c r="E32" s="86"/>
      <c r="F32" s="1"/>
      <c r="G32" s="89"/>
      <c r="H32" s="89"/>
      <c r="I32" s="90"/>
      <c r="J32" s="174"/>
    </row>
    <row r="33" spans="1:10" ht="15.75" hidden="1" thickBot="1" x14ac:dyDescent="0.3">
      <c r="A33" s="179"/>
      <c r="B33" s="1"/>
      <c r="C33" s="27" t="s">
        <v>101</v>
      </c>
      <c r="D33" s="56">
        <f>IFERROR(IF(ISNUMBER(G16),G16*D24*0.9,IF(D16="Please enter value in cell to the right:",IF(AND(D16="Please enter value in cell to the right:",ISNUMBER(E16)),D24*(IF(E16-2&lt;0,E16,E16-2)), VLOOKUP((LEFT(D14,(LEN(D14)-13))&amp;" default"),Lookups!C12:E13,3,FALSE)*D24),IF(OR(D14="Package Treatment Plant default",D14="Septic Tank default"),D16*D24,IF(D16=25,D16*D24,D16*D24*0.9)))),"")</f>
        <v>6998.4000000000005</v>
      </c>
      <c r="E33" s="28" t="s">
        <v>102</v>
      </c>
      <c r="F33" s="1"/>
      <c r="G33" s="91"/>
      <c r="H33" s="95"/>
      <c r="I33" s="92"/>
      <c r="J33" s="174"/>
    </row>
    <row r="34" spans="1:10" ht="15.75" hidden="1" thickBot="1" x14ac:dyDescent="0.3">
      <c r="A34" s="179"/>
      <c r="B34" s="1"/>
      <c r="C34" s="63" t="s">
        <v>103</v>
      </c>
      <c r="D34" s="64">
        <f>IFERROR($D$33/1000000,"")</f>
        <v>6.998400000000001E-3</v>
      </c>
      <c r="E34" s="28" t="s">
        <v>104</v>
      </c>
      <c r="F34" s="1"/>
      <c r="G34" s="91"/>
      <c r="H34" s="95"/>
      <c r="I34" s="92"/>
      <c r="J34" s="174"/>
    </row>
    <row r="35" spans="1:10" ht="15.75" hidden="1" thickBot="1" x14ac:dyDescent="0.3">
      <c r="A35" s="179"/>
      <c r="B35" s="1"/>
      <c r="C35" s="63" t="s">
        <v>105</v>
      </c>
      <c r="D35" s="65">
        <f>IFERROR($D$34*365.25,"")</f>
        <v>2.5561656000000004</v>
      </c>
      <c r="E35" s="28" t="s">
        <v>106</v>
      </c>
      <c r="F35" s="1"/>
      <c r="G35" s="91"/>
      <c r="H35" s="96"/>
      <c r="I35" s="92"/>
      <c r="J35" s="174"/>
    </row>
    <row r="36" spans="1:10" x14ac:dyDescent="0.25">
      <c r="A36" s="179"/>
      <c r="B36" s="1"/>
      <c r="C36" s="19" t="s">
        <v>107</v>
      </c>
      <c r="D36" s="20">
        <f>D35</f>
        <v>2.5561656000000004</v>
      </c>
      <c r="E36" s="87" t="s">
        <v>106</v>
      </c>
      <c r="F36" s="1"/>
      <c r="G36" s="93"/>
      <c r="H36" s="97"/>
      <c r="I36" s="94"/>
      <c r="J36" s="174"/>
    </row>
    <row r="37" spans="1:10" ht="15.75" thickBot="1" x14ac:dyDescent="0.3">
      <c r="A37" s="179"/>
      <c r="B37" s="167"/>
      <c r="C37" s="149"/>
      <c r="D37" s="149"/>
      <c r="E37" s="149"/>
      <c r="F37" s="149"/>
      <c r="G37" s="149"/>
      <c r="H37" s="149"/>
      <c r="I37" s="149"/>
      <c r="J37" s="150"/>
    </row>
    <row r="38" spans="1:10" ht="15.75" thickTop="1" x14ac:dyDescent="0.25"/>
  </sheetData>
  <sheetProtection algorithmName="SHA-512" hashValue="fHqHhJeV9WuitXIom8d9a5ToS3tJWuo0BrvNmXwWBJHKU/7WrCGtYqdkgjFtHwQPu5k8Cw0ymA/IIGqe7ydRXQ==" saltValue="9iD8waZD2HzaTKjaBecsSg==" spinCount="100000" sheet="1" selectLockedCells="1"/>
  <protectedRanges>
    <protectedRange algorithmName="SHA-512" hashValue="9eFLYwbQxhpezS4HULhG7iBaGmH5LoseTU2XnhelcWF+/l82pYUC3srt3byn/vuneXy5XFyZVPQbagh6SLqRzQ==" saltValue="CEix3VmL8kRrd4op8qAhjg==" spinCount="100000" sqref="E15:E16 D9:D14" name="Range1"/>
  </protectedRanges>
  <mergeCells count="6">
    <mergeCell ref="B3:J5"/>
    <mergeCell ref="C21:D21"/>
    <mergeCell ref="G21:H21"/>
    <mergeCell ref="G10:G14"/>
    <mergeCell ref="C18:D18"/>
    <mergeCell ref="C7:D7"/>
  </mergeCells>
  <conditionalFormatting sqref="E15:E16">
    <cfRule type="expression" dxfId="10" priority="10">
      <formula>OR(ISNUMBER($D$16),ISBLANK($D$14))</formula>
    </cfRule>
    <cfRule type="expression" dxfId="9" priority="11">
      <formula>($D$16="Please enter value in cell to the right:")</formula>
    </cfRule>
  </conditionalFormatting>
  <conditionalFormatting sqref="G15">
    <cfRule type="expression" dxfId="8" priority="5">
      <formula>ISNUMBER($G$15)</formula>
    </cfRule>
  </conditionalFormatting>
  <conditionalFormatting sqref="G10 H9:H16">
    <cfRule type="expression" dxfId="7" priority="12">
      <formula>_xlfn.ISFORMULA($G$10)</formula>
    </cfRule>
    <cfRule type="expression" dxfId="6" priority="13">
      <formula>ISTEXT($G$10)</formula>
    </cfRule>
  </conditionalFormatting>
  <conditionalFormatting sqref="G16">
    <cfRule type="expression" dxfId="5" priority="4">
      <formula>ISNUMBER($G$16)</formula>
    </cfRule>
  </conditionalFormatting>
  <conditionalFormatting sqref="H23">
    <cfRule type="expression" dxfId="4" priority="2">
      <formula>ISNUMBER($H$23)</formula>
    </cfRule>
  </conditionalFormatting>
  <conditionalFormatting sqref="H24">
    <cfRule type="expression" dxfId="3" priority="1">
      <formula>ISNUMBER(H24)</formula>
    </cfRule>
  </conditionalFormatting>
  <dataValidations count="4">
    <dataValidation type="date" operator="greaterThan" allowBlank="1" showInputMessage="1" showErrorMessage="1" errorTitle="Date Error" error="Please enter a date after 01/01/2022 date in correct dd/mm/yyyy format." prompt="Enter date as dd/mm/yyyy format. " sqref="D9" xr:uid="{515E4566-AFB5-4866-94DE-CB431AAF4C1A}">
      <formula1>44562</formula1>
    </dataValidation>
    <dataValidation type="decimal" operator="greaterThan" showInputMessage="1" showErrorMessage="1" prompt="The average occupancy rate (people per dwelling/unit) should not be edited unless there is sufficient evidence." sqref="D10" xr:uid="{31DEF3BB-E2E5-4E5C-BF5A-2425D3EB9410}">
      <formula1>0</formula1>
    </dataValidation>
    <dataValidation type="whole" operator="greaterThan" showInputMessage="1" showErrorMessage="1" errorTitle="Water usage:" error="Please enter a whole number in litres/person/day" prompt="Keep as 120 unless other efficiency measures are used. " sqref="D11" xr:uid="{A8EA6526-60C6-4C2D-9A44-9CEB14D43876}">
      <formula1>0</formula1>
    </dataValidation>
    <dataValidation type="whole" operator="greaterThan" allowBlank="1" showInputMessage="1" showErrorMessage="1" errorTitle="Development proposal" error="Please ensure that the total number of dwellings is entered as a whole number" prompt="Please enter the total number of dwellings/units that will be within the development site as of the project completion date." sqref="D12" xr:uid="{87F490E9-C1CC-4992-A666-0F3B65B428BF}">
      <formula1>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76E0497B-089C-459A-B2E2-C8A2AF71C14C}">
          <x14:formula1>
            <xm:f>'C:\Users\DS56\OneDrive - Ricardo Plc\NE NN\[Copy of Herefordshire Council Phosphate Budget Calculator_Final.xlsx]Stage 2 and 3 lookups'!#REF!</xm:f>
          </x14:formula1>
          <xm:sqref>J8:J10</xm:sqref>
        </x14:dataValidation>
        <x14:dataValidation type="list" allowBlank="1" showInputMessage="1" showErrorMessage="1" xr:uid="{2060F248-1654-4F8C-B1B2-CB874E476D6E}">
          <x14:formula1>
            <xm:f>Lookups!$C$8:$C$15</xm:f>
          </x14:formula1>
          <xm:sqref>D14</xm:sqref>
        </x14:dataValidation>
        <x14:dataValidation type="list" operator="greaterThan" allowBlank="1" showInputMessage="1" showErrorMessage="1" errorTitle="Development proposal" error="Please ensure that the total number of dwellings is entered as a whole number" prompt="Please edit if the catchment does not have a deductible acceptable loading. " xr:uid="{0A0B4F66-D48C-44E4-8395-F65BB5387697}">
          <x14:formula1>
            <xm:f>Lookups!$C$144:$C$145</xm:f>
          </x14:formula1>
          <xm:sqref>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E8DE7-889B-4390-AD2D-86928A13748B}">
  <dimension ref="A3:K34"/>
  <sheetViews>
    <sheetView showRowColHeaders="0" topLeftCell="A7" zoomScaleNormal="100" workbookViewId="0">
      <selection activeCell="D15" sqref="D15"/>
    </sheetView>
  </sheetViews>
  <sheetFormatPr defaultColWidth="9.140625" defaultRowHeight="15" x14ac:dyDescent="0.25"/>
  <cols>
    <col min="1" max="1" width="9.140625" style="152"/>
    <col min="2" max="2" width="4.7109375" style="152" customWidth="1"/>
    <col min="3" max="3" width="32.140625" style="152" customWidth="1"/>
    <col min="4" max="4" width="8.42578125" style="152" bestFit="1" customWidth="1"/>
    <col min="5" max="5" width="21.140625" style="152" customWidth="1"/>
    <col min="6" max="6" width="17.7109375" style="152" customWidth="1"/>
    <col min="7" max="7" width="122.7109375" style="152" customWidth="1"/>
    <col min="8" max="8" width="5.7109375" style="152" customWidth="1"/>
    <col min="9" max="9" width="8.140625" style="152" customWidth="1"/>
    <col min="10" max="10" width="9.140625" style="152" customWidth="1"/>
    <col min="11" max="11" width="26.140625" style="152" customWidth="1"/>
    <col min="12" max="16384" width="9.140625" style="152"/>
  </cols>
  <sheetData>
    <row r="3" spans="1:11" ht="29.25" x14ac:dyDescent="0.25">
      <c r="A3" s="153"/>
      <c r="B3" s="268" t="s">
        <v>108</v>
      </c>
      <c r="C3" s="269"/>
      <c r="D3" s="269"/>
      <c r="E3" s="269"/>
      <c r="F3" s="269"/>
      <c r="G3" s="269"/>
      <c r="H3" s="231"/>
    </row>
    <row r="4" spans="1:11" ht="29.25" x14ac:dyDescent="0.25">
      <c r="A4" s="153"/>
      <c r="B4" s="268"/>
      <c r="C4" s="269"/>
      <c r="D4" s="269"/>
      <c r="E4" s="269"/>
      <c r="F4" s="269"/>
      <c r="G4" s="269"/>
      <c r="H4" s="231"/>
    </row>
    <row r="5" spans="1:11" ht="29.25" x14ac:dyDescent="0.25">
      <c r="A5" s="153"/>
      <c r="B5" s="268"/>
      <c r="C5" s="269"/>
      <c r="D5" s="269"/>
      <c r="E5" s="269"/>
      <c r="F5" s="269"/>
      <c r="G5" s="269"/>
      <c r="H5" s="231"/>
    </row>
    <row r="6" spans="1:11" ht="17.25" x14ac:dyDescent="0.25">
      <c r="A6" s="153"/>
      <c r="B6" s="1"/>
      <c r="C6" s="1"/>
      <c r="D6" s="1"/>
      <c r="E6" s="1"/>
      <c r="F6" s="1"/>
      <c r="G6" s="6"/>
      <c r="H6" s="165"/>
    </row>
    <row r="7" spans="1:11" ht="18" customHeight="1" x14ac:dyDescent="0.25">
      <c r="A7" s="153"/>
      <c r="B7" s="1"/>
      <c r="C7" s="277" t="s">
        <v>77</v>
      </c>
      <c r="D7" s="277"/>
      <c r="E7" s="277"/>
      <c r="F7" s="277"/>
      <c r="G7" s="7"/>
      <c r="H7" s="164"/>
    </row>
    <row r="8" spans="1:11" ht="12" customHeight="1" x14ac:dyDescent="0.25">
      <c r="A8" s="153"/>
      <c r="B8" s="1"/>
      <c r="C8" s="1"/>
      <c r="D8" s="1"/>
      <c r="E8" s="1"/>
      <c r="F8" s="1"/>
      <c r="G8" s="7"/>
      <c r="H8" s="164"/>
    </row>
    <row r="9" spans="1:11" ht="18" thickBot="1" x14ac:dyDescent="0.3">
      <c r="A9" s="153"/>
      <c r="B9" s="1"/>
      <c r="C9" s="275" t="s">
        <v>109</v>
      </c>
      <c r="D9" s="275"/>
      <c r="E9" s="106"/>
      <c r="F9" s="1"/>
      <c r="G9" s="7"/>
      <c r="H9" s="164"/>
    </row>
    <row r="10" spans="1:11" ht="17.25" x14ac:dyDescent="0.25">
      <c r="A10" s="153"/>
      <c r="B10" s="1"/>
      <c r="C10" s="276" t="s">
        <v>110</v>
      </c>
      <c r="D10" s="276"/>
      <c r="E10" s="107"/>
      <c r="F10" s="1"/>
      <c r="G10" s="8"/>
      <c r="H10" s="166"/>
    </row>
    <row r="11" spans="1:11" ht="18" thickBot="1" x14ac:dyDescent="0.3">
      <c r="A11" s="153"/>
      <c r="B11" s="1"/>
      <c r="C11" s="276" t="s">
        <v>111</v>
      </c>
      <c r="D11" s="276"/>
      <c r="E11" s="108"/>
      <c r="F11" s="1"/>
      <c r="G11" s="8"/>
      <c r="H11" s="166"/>
    </row>
    <row r="12" spans="1:11" x14ac:dyDescent="0.25">
      <c r="A12" s="153"/>
      <c r="B12" s="1"/>
      <c r="C12" s="274" t="s">
        <v>112</v>
      </c>
      <c r="D12" s="274"/>
      <c r="E12" s="109" t="s">
        <v>83</v>
      </c>
      <c r="F12" s="1"/>
      <c r="G12" s="1"/>
      <c r="H12" s="124"/>
    </row>
    <row r="13" spans="1:11" x14ac:dyDescent="0.25">
      <c r="A13" s="153"/>
      <c r="B13" s="1"/>
      <c r="C13" s="1"/>
      <c r="D13" s="1"/>
      <c r="E13" s="1"/>
      <c r="F13" s="1"/>
      <c r="G13" s="1"/>
      <c r="H13" s="124"/>
    </row>
    <row r="14" spans="1:11" ht="63" customHeight="1" thickBot="1" x14ac:dyDescent="0.3">
      <c r="A14" s="153"/>
      <c r="B14" s="1"/>
      <c r="C14" s="72" t="s">
        <v>113</v>
      </c>
      <c r="D14" s="73" t="s">
        <v>114</v>
      </c>
      <c r="E14" s="73" t="s">
        <v>115</v>
      </c>
      <c r="F14" s="74" t="s">
        <v>116</v>
      </c>
      <c r="G14" s="1"/>
      <c r="H14" s="124"/>
    </row>
    <row r="15" spans="1:11" x14ac:dyDescent="0.25">
      <c r="A15" s="153"/>
      <c r="B15" s="1"/>
      <c r="C15" s="110" t="s">
        <v>117</v>
      </c>
      <c r="D15" s="205"/>
      <c r="E15" s="203" t="str">
        <f>IF(OR(ISBLANK($C15),ISBLANK($D15),ISBLANK($E$10),ISBLANK($E$11)),"",IFERROR($D15*VLOOKUP((IF(OR($C15="Residential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2'!$E$11,Lookups!$C$104:$E$126,3,FALSE)&amp;"|"&amp;VLOOKUP($E$10,Lookups!$C$135:$D$140,2,FALSE)))),Lookups!$H$19:$J$100,2,FALSE),
IFERROR(IFERROR($D15*VLOOKUP($C15&amp;"|"&amp;VLOOKUP('Stage 2'!$E$12,Lookups!$C$144:$D$145,2,FALSE)&amp;"|"&amp;VLOOKUP('Stage 2'!$E$11,Lookups!$C$104:$E$126,3,FALSE)&amp;"|"&amp;VLOOKUP($E$10,Lookups!$C$135:$D$140,2,FALSE),Lookups!$H$19:$J$100,2,FALSE),IFERROR($D15*VLOOKUP($C15&amp;"|"&amp;"TRUE"&amp;"|"&amp;VLOOKUP('Stage 2'!$E$11,Lookups!$C$104:$E$126,3,FALSE)&amp;"|"&amp;VLOOKUP($E$10,Lookups!$C$135:$D$140,2,FALSE),Lookups!$H$19:$J$100,2,FALSE),$D15*VLOOKUP($C15&amp;"|"&amp;VLOOKUP('Stage 2'!$E$12,Lookups!$C$144:$D$145,2,FALSE)&amp;"|"&amp;VLOOKUP('Stage 2'!$E$11,Lookups!$C$104:$E$126,3,FALSE)&amp;"|"&amp;"DrainedArGr",Lookups!$H$19:$J$100,2,FALSE))),IFERROR($D15*VLOOKUP($C15&amp;"|"&amp;VLOOKUP('Stage 2'!$E$11,Lookups!$C$104:$E$126,3,FALSE),Lookups!$K$19:$M$92,2,FALSE),$D15*VLOOKUP($C15,Lookups!$D$19:$O$92,11,FALSE)))))</f>
        <v/>
      </c>
      <c r="F15" s="202" t="str">
        <f>IF(OR(ISBLANK($C15),ISBLANK($D15),ISBLANK($E$10),ISBLANK($E$11)),"",IFERROR($D15*VLOOKUP((IF(OR($C15="Residential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2'!$E$11,Lookups!$C$104:$E$126,3,FALSE)&amp;"|"&amp;VLOOKUP($E$10,Lookups!$C$135:$D$140,2,FALSE)))),Lookups!$H$19:$J$100,3,FALSE),
IFERROR(IFERROR($D15*VLOOKUP($C15&amp;"|"&amp;VLOOKUP('Stage 2'!$E$12,Lookups!$C$144:$D$145,2,FALSE)&amp;"|"&amp;VLOOKUP('Stage 2'!$E$11,Lookups!$C$104:$E$126,3,FALSE)&amp;"|"&amp;VLOOKUP($E$10,Lookups!$C$135:$D$140,2,FALSE),Lookups!$H$19:$J$100,3,FALSE),IFERROR($D15*VLOOKUP($C15&amp;"|"&amp;"TRUE"&amp;"|"&amp;VLOOKUP('Stage 2'!$E$11,Lookups!$C$104:$E$126,3,FALSE)&amp;"|"&amp;VLOOKUP($E$10,Lookups!$C$135:$D$140,2,FALSE),Lookups!$H$19:$J$100,3,FALSE),$D15*VLOOKUP($C15&amp;"|"&amp;VLOOKUP('Stage 2'!$E$12,Lookups!$C$144:$D$145,2,FALSE)&amp;"|"&amp;VLOOKUP('Stage 2'!$E$11,Lookups!$C$104:$E$126,3,FALSE)&amp;"|"&amp;"DrainedArGr",Lookups!$H$19:$J$100,3,FALSE))),IFERROR($D15*VLOOKUP($C15&amp;"|"&amp;VLOOKUP('Stage 2'!$E$11,Lookups!$C$104:$E$126,3,FALSE),Lookups!$K$19:$M$92,3,FALSE),$D15*VLOOKUP($C15,Lookups!$D$19:$O$92,12,FALSE)))))</f>
        <v/>
      </c>
      <c r="G15" s="232" t="str">
        <f>IF(
OR(ISBLANK($C15),ISBLANK($D15),ISBLANK($E$10),ISBLANK($E$9),ISBLANK($E$11),$C15="Residential urban land",$C15="Commercial/industrial urban land",$C15="Open urban land",$C15="Greenspace",$C15="Community food growing",$C15="Woodland",$C15="Shrub",$C15="Water"),"",IFERROR($D15*VLOOKUP((IF(
OR($C15="Residential urban land",$C15="Commercial/industrial urban land",$C15="Open urban land",$C15="Greenspace",$C15="Community food growing",$C15="Woodland",$C15="Shrub",$C15="Water"),"|||"&amp;$C15,(VLOOKUP('Stage 2'!$E$9,Lookups!$C$135:$D$140,2,FALSE)&amp;"|"&amp;$C15&amp;"|"&amp;VLOOKUP('Stage 2'!$E$12,Lookups!$C$144:$D$145,2,FALSE)&amp;"|"&amp;VLOOKUP('Stage 2'!$E$11,Lookups!$C$104:$E$126,3,FALSE)&amp;"|"&amp;VLOOKUP($E$10,Lookups!$C$135:$D$140,2,FALSE)))),Lookups!$H$19:$J$100,3,FALSE),
IFERROR($D15*VLOOKUP($C15&amp;"|"&amp;VLOOKUP('Stage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5" s="180"/>
      <c r="I15" s="181"/>
      <c r="J15" s="181"/>
      <c r="K15" s="181"/>
    </row>
    <row r="16" spans="1:11" x14ac:dyDescent="0.25">
      <c r="A16" s="153"/>
      <c r="B16" s="1"/>
      <c r="C16" s="110"/>
      <c r="D16" s="218"/>
      <c r="E16" s="203" t="str">
        <f>IF(OR(ISBLANK($C16),ISBLANK($D16),ISBLANK($E$10),ISBLANK($E$11)),"",IFERROR($D16*VLOOKUP((IF(OR($C16="Residential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2'!$E$11,Lookups!$C$104:$E$126,3,FALSE)&amp;"|"&amp;VLOOKUP($E$10,Lookups!$C$135:$D$140,2,FALSE)))),Lookups!$H$19:$J$100,2,FALSE),
IFERROR(IFERROR($D16*VLOOKUP($C16&amp;"|"&amp;VLOOKUP('Stage 2'!$E$12,Lookups!$C$144:$D$145,2,FALSE)&amp;"|"&amp;VLOOKUP('Stage 2'!$E$11,Lookups!$C$104:$E$126,3,FALSE)&amp;"|"&amp;VLOOKUP($E$10,Lookups!$C$135:$D$140,2,FALSE),Lookups!$H$19:$J$100,2,FALSE),IFERROR($D16*VLOOKUP($C16&amp;"|"&amp;"TRUE"&amp;"|"&amp;VLOOKUP('Stage 2'!$E$11,Lookups!$C$104:$E$126,3,FALSE)&amp;"|"&amp;VLOOKUP($E$10,Lookups!$C$135:$D$140,2,FALSE),Lookups!$H$19:$J$100,2,FALSE),$D16*VLOOKUP($C16&amp;"|"&amp;VLOOKUP('Stage 2'!$E$12,Lookups!$C$144:$D$145,2,FALSE)&amp;"|"&amp;VLOOKUP('Stage 2'!$E$11,Lookups!$C$104:$E$126,3,FALSE)&amp;"|"&amp;"DrainedArGr",Lookups!$H$19:$J$100,2,FALSE))),IFERROR($D16*VLOOKUP($C16&amp;"|"&amp;VLOOKUP('Stage 2'!$E$11,Lookups!$C$104:$E$126,3,FALSE),Lookups!$K$19:$M$92,2,FALSE),$D16*VLOOKUP($C16,Lookups!$D$19:$O$92,11,FALSE)))))</f>
        <v/>
      </c>
      <c r="F16" s="202" t="str">
        <f>IF(OR(ISBLANK($C16),ISBLANK($D16),ISBLANK($E$10),ISBLANK($E$11)),"",IFERROR($D16*VLOOKUP((IF(OR($C16="Residential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2'!$E$11,Lookups!$C$104:$E$126,3,FALSE)&amp;"|"&amp;VLOOKUP($E$10,Lookups!$C$135:$D$140,2,FALSE)))),Lookups!$H$19:$J$100,3,FALSE),
IFERROR(IFERROR($D16*VLOOKUP($C16&amp;"|"&amp;VLOOKUP('Stage 2'!$E$12,Lookups!$C$144:$D$145,2,FALSE)&amp;"|"&amp;VLOOKUP('Stage 2'!$E$11,Lookups!$C$104:$E$126,3,FALSE)&amp;"|"&amp;VLOOKUP($E$10,Lookups!$C$135:$D$140,2,FALSE),Lookups!$H$19:$J$100,3,FALSE),IFERROR($D16*VLOOKUP($C16&amp;"|"&amp;"TRUE"&amp;"|"&amp;VLOOKUP('Stage 2'!$E$11,Lookups!$C$104:$E$126,3,FALSE)&amp;"|"&amp;VLOOKUP($E$10,Lookups!$C$135:$D$140,2,FALSE),Lookups!$H$19:$J$100,3,FALSE),$D16*VLOOKUP($C16&amp;"|"&amp;VLOOKUP('Stage 2'!$E$12,Lookups!$C$144:$D$145,2,FALSE)&amp;"|"&amp;VLOOKUP('Stage 2'!$E$11,Lookups!$C$104:$E$126,3,FALSE)&amp;"|"&amp;"DrainedArGr",Lookups!$H$19:$J$100,3,FALSE))),IFERROR($D16*VLOOKUP($C16&amp;"|"&amp;VLOOKUP('Stage 2'!$E$11,Lookups!$C$104:$E$126,3,FALSE),Lookups!$K$19:$M$92,3,FALSE),$D16*VLOOKUP($C16,Lookups!$D$19:$O$92,12,FALSE)))))</f>
        <v/>
      </c>
      <c r="G16" s="232" t="str">
        <f>IF(
OR(ISBLANK($C16),ISBLANK($D16),ISBLANK($E$10),ISBLANK($E$9),ISBLANK($E$11),$C16="Residential urban land",$C16="Commercial/industrial urban land",$C16="Open urban land",$C16="Greenspace",$C16="Community food growing",$C16="Woodland",$C16="Shrub",$C16="Water"),"",IFERROR($D16*VLOOKUP((IF(
OR($C16="Residential urban land",$C16="Commercial/industrial urban land",$C16="Open urban land",$C16="Greenspace",$C16="Community food growing",$C16="Woodland",$C16="Shrub",$C16="Water"),"|||"&amp;$C16,(VLOOKUP('Stage 2'!$E$9,Lookups!$C$135:$D$140,2,FALSE)&amp;"|"&amp;$C16&amp;"|"&amp;VLOOKUP('Stage 2'!$E$12,Lookups!$C$144:$D$145,2,FALSE)&amp;"|"&amp;VLOOKUP('Stage 2'!$E$11,Lookups!$C$104:$E$126,3,FALSE)&amp;"|"&amp;VLOOKUP($E$10,Lookups!$C$135:$D$140,2,FALSE)))),Lookups!$H$19:$J$100,3,FALSE),
IFERROR($D16*VLOOKUP($C16&amp;"|"&amp;VLOOKUP('Stage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6" s="180"/>
      <c r="I16" s="181"/>
      <c r="J16" s="181"/>
      <c r="K16" s="181"/>
    </row>
    <row r="17" spans="1:11" x14ac:dyDescent="0.25">
      <c r="A17" s="153"/>
      <c r="B17" s="1"/>
      <c r="C17" s="110"/>
      <c r="D17" s="218"/>
      <c r="E17" s="203" t="str">
        <f>IF(OR(ISBLANK($C17),ISBLANK($D17),ISBLANK($E$10),ISBLANK($E$11)),"",IFERROR($D17*VLOOKUP((IF(OR($C17="Residential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2'!$E$11,Lookups!$C$104:$E$126,3,FALSE)&amp;"|"&amp;VLOOKUP($E$10,Lookups!$C$135:$D$140,2,FALSE)))),Lookups!$H$19:$J$100,2,FALSE),
IFERROR(IFERROR($D17*VLOOKUP($C17&amp;"|"&amp;VLOOKUP('Stage 2'!$E$12,Lookups!$C$144:$D$145,2,FALSE)&amp;"|"&amp;VLOOKUP('Stage 2'!$E$11,Lookups!$C$104:$E$126,3,FALSE)&amp;"|"&amp;VLOOKUP($E$10,Lookups!$C$135:$D$140,2,FALSE),Lookups!$H$19:$J$100,2,FALSE),IFERROR($D17*VLOOKUP($C17&amp;"|"&amp;"TRUE"&amp;"|"&amp;VLOOKUP('Stage 2'!$E$11,Lookups!$C$104:$E$126,3,FALSE)&amp;"|"&amp;VLOOKUP($E$10,Lookups!$C$135:$D$140,2,FALSE),Lookups!$H$19:$J$100,2,FALSE),$D17*VLOOKUP($C17&amp;"|"&amp;VLOOKUP('Stage 2'!$E$12,Lookups!$C$144:$D$145,2,FALSE)&amp;"|"&amp;VLOOKUP('Stage 2'!$E$11,Lookups!$C$104:$E$126,3,FALSE)&amp;"|"&amp;"DrainedArGr",Lookups!$H$19:$J$100,2,FALSE))),IFERROR($D17*VLOOKUP($C17&amp;"|"&amp;VLOOKUP('Stage 2'!$E$11,Lookups!$C$104:$E$126,3,FALSE),Lookups!$K$19:$M$92,2,FALSE),$D17*VLOOKUP($C17,Lookups!$D$19:$O$92,11,FALSE)))))</f>
        <v/>
      </c>
      <c r="F17" s="202" t="str">
        <f>IF(OR(ISBLANK($C17),ISBLANK($D17),ISBLANK($E$10),ISBLANK($E$11)),"",IFERROR($D17*VLOOKUP((IF(OR($C17="Residential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2'!$E$11,Lookups!$C$104:$E$126,3,FALSE)&amp;"|"&amp;VLOOKUP($E$10,Lookups!$C$135:$D$140,2,FALSE)))),Lookups!$H$19:$J$100,3,FALSE),
IFERROR(IFERROR($D17*VLOOKUP($C17&amp;"|"&amp;VLOOKUP('Stage 2'!$E$12,Lookups!$C$144:$D$145,2,FALSE)&amp;"|"&amp;VLOOKUP('Stage 2'!$E$11,Lookups!$C$104:$E$126,3,FALSE)&amp;"|"&amp;VLOOKUP($E$10,Lookups!$C$135:$D$140,2,FALSE),Lookups!$H$19:$J$100,3,FALSE),IFERROR($D17*VLOOKUP($C17&amp;"|"&amp;"TRUE"&amp;"|"&amp;VLOOKUP('Stage 2'!$E$11,Lookups!$C$104:$E$126,3,FALSE)&amp;"|"&amp;VLOOKUP($E$10,Lookups!$C$135:$D$140,2,FALSE),Lookups!$H$19:$J$100,3,FALSE),$D17*VLOOKUP($C17&amp;"|"&amp;VLOOKUP('Stage 2'!$E$12,Lookups!$C$144:$D$145,2,FALSE)&amp;"|"&amp;VLOOKUP('Stage 2'!$E$11,Lookups!$C$104:$E$126,3,FALSE)&amp;"|"&amp;"DrainedArGr",Lookups!$H$19:$J$100,3,FALSE))),IFERROR($D17*VLOOKUP($C17&amp;"|"&amp;VLOOKUP('Stage 2'!$E$11,Lookups!$C$104:$E$126,3,FALSE),Lookups!$K$19:$M$92,3,FALSE),$D17*VLOOKUP($C17,Lookups!$D$19:$O$92,12,FALSE)))))</f>
        <v/>
      </c>
      <c r="G17" s="232" t="str">
        <f>IF(
OR(ISBLANK($C17),ISBLANK($D17),ISBLANK($E$10),ISBLANK($E$9),ISBLANK($E$11),$C17="Residential urban land",$C17="Commercial/industrial urban land",$C17="Open urban land",$C17="Greenspace",$C17="Community food growing",$C17="Woodland",$C17="Shrub",$C17="Water"),"",IFERROR($D17*VLOOKUP((IF(
OR($C17="Residential urban land",$C17="Commercial/industrial urban land",$C17="Open urban land",$C17="Greenspace",$C17="Community food growing",$C17="Woodland",$C17="Shrub",$C17="Water"),"|||"&amp;$C17,(VLOOKUP('Stage 2'!$E$9,Lookups!$C$135:$D$140,2,FALSE)&amp;"|"&amp;$C17&amp;"|"&amp;VLOOKUP('Stage 2'!$E$12,Lookups!$C$144:$D$145,2,FALSE)&amp;"|"&amp;VLOOKUP('Stage 2'!$E$11,Lookups!$C$104:$E$126,3,FALSE)&amp;"|"&amp;VLOOKUP($E$10,Lookups!$C$135:$D$140,2,FALSE)))),Lookups!$H$19:$J$100,3,FALSE),
IFERROR($D17*VLOOKUP($C17&amp;"|"&amp;VLOOKUP('Stage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7" s="180"/>
      <c r="I17" s="181"/>
      <c r="J17" s="181"/>
      <c r="K17" s="181"/>
    </row>
    <row r="18" spans="1:11" x14ac:dyDescent="0.25">
      <c r="A18" s="153"/>
      <c r="B18" s="1"/>
      <c r="C18" s="219"/>
      <c r="D18" s="218"/>
      <c r="E18" s="203" t="str">
        <f>IF(OR(ISBLANK($C18),ISBLANK($D18),ISBLANK($E$10),ISBLANK($E$11)),"",IFERROR($D18*VLOOKUP((IF(OR($C18="Residential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2'!$E$11,Lookups!$C$104:$E$126,3,FALSE)&amp;"|"&amp;VLOOKUP($E$10,Lookups!$C$135:$D$140,2,FALSE)))),Lookups!$H$19:$J$100,2,FALSE),
IFERROR(IFERROR($D18*VLOOKUP($C18&amp;"|"&amp;VLOOKUP('Stage 2'!$E$12,Lookups!$C$144:$D$145,2,FALSE)&amp;"|"&amp;VLOOKUP('Stage 2'!$E$11,Lookups!$C$104:$E$126,3,FALSE)&amp;"|"&amp;VLOOKUP($E$10,Lookups!$C$135:$D$140,2,FALSE),Lookups!$H$19:$J$100,2,FALSE),IFERROR($D18*VLOOKUP($C18&amp;"|"&amp;"TRUE"&amp;"|"&amp;VLOOKUP('Stage 2'!$E$11,Lookups!$C$104:$E$126,3,FALSE)&amp;"|"&amp;VLOOKUP($E$10,Lookups!$C$135:$D$140,2,FALSE),Lookups!$H$19:$J$100,2,FALSE),$D18*VLOOKUP($C18&amp;"|"&amp;VLOOKUP('Stage 2'!$E$12,Lookups!$C$144:$D$145,2,FALSE)&amp;"|"&amp;VLOOKUP('Stage 2'!$E$11,Lookups!$C$104:$E$126,3,FALSE)&amp;"|"&amp;"DrainedArGr",Lookups!$H$19:$J$100,2,FALSE))),IFERROR($D18*VLOOKUP($C18&amp;"|"&amp;VLOOKUP('Stage 2'!$E$11,Lookups!$C$104:$E$126,3,FALSE),Lookups!$K$19:$M$92,2,FALSE),$D18*VLOOKUP($C18,Lookups!$D$19:$O$92,11,FALSE)))))</f>
        <v/>
      </c>
      <c r="F18" s="202" t="str">
        <f>IF(OR(ISBLANK($C18),ISBLANK($D18),ISBLANK($E$10),ISBLANK($E$11)),"",IFERROR($D18*VLOOKUP((IF(OR($C18="Residential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2'!$E$11,Lookups!$C$104:$E$126,3,FALSE)&amp;"|"&amp;VLOOKUP($E$10,Lookups!$C$135:$D$140,2,FALSE)))),Lookups!$H$19:$J$100,3,FALSE),
IFERROR(IFERROR($D18*VLOOKUP($C18&amp;"|"&amp;VLOOKUP('Stage 2'!$E$12,Lookups!$C$144:$D$145,2,FALSE)&amp;"|"&amp;VLOOKUP('Stage 2'!$E$11,Lookups!$C$104:$E$126,3,FALSE)&amp;"|"&amp;VLOOKUP($E$10,Lookups!$C$135:$D$140,2,FALSE),Lookups!$H$19:$J$100,3,FALSE),IFERROR($D18*VLOOKUP($C18&amp;"|"&amp;"TRUE"&amp;"|"&amp;VLOOKUP('Stage 2'!$E$11,Lookups!$C$104:$E$126,3,FALSE)&amp;"|"&amp;VLOOKUP($E$10,Lookups!$C$135:$D$140,2,FALSE),Lookups!$H$19:$J$100,3,FALSE),$D18*VLOOKUP($C18&amp;"|"&amp;VLOOKUP('Stage 2'!$E$12,Lookups!$C$144:$D$145,2,FALSE)&amp;"|"&amp;VLOOKUP('Stage 2'!$E$11,Lookups!$C$104:$E$126,3,FALSE)&amp;"|"&amp;"DrainedArGr",Lookups!$H$19:$J$100,3,FALSE))),IFERROR($D18*VLOOKUP($C18&amp;"|"&amp;VLOOKUP('Stage 2'!$E$11,Lookups!$C$104:$E$126,3,FALSE),Lookups!$K$19:$M$92,3,FALSE),$D18*VLOOKUP($C18,Lookups!$D$19:$O$92,12,FALSE)))))</f>
        <v/>
      </c>
      <c r="G18" s="232" t="str">
        <f>IF(
OR(ISBLANK($C18),ISBLANK($D18),ISBLANK($E$10),ISBLANK($E$9),ISBLANK($E$11),$C18="Residential urban land",$C18="Commercial/industrial urban land",$C18="Open urban land",$C18="Greenspace",$C18="Community food growing",$C18="Woodland",$C18="Shrub",$C18="Water"),"",IFERROR($D18*VLOOKUP((IF(
OR($C18="Residential urban land",$C18="Commercial/industrial urban land",$C18="Open urban land",$C18="Greenspace",$C18="Community food growing",$C18="Woodland",$C18="Shrub",$C18="Water"),"|||"&amp;$C18,(VLOOKUP('Stage 2'!$E$9,Lookups!$C$135:$D$140,2,FALSE)&amp;"|"&amp;$C18&amp;"|"&amp;VLOOKUP('Stage 2'!$E$12,Lookups!$C$144:$D$145,2,FALSE)&amp;"|"&amp;VLOOKUP('Stage 2'!$E$11,Lookups!$C$104:$E$126,3,FALSE)&amp;"|"&amp;VLOOKUP($E$10,Lookups!$C$135:$D$140,2,FALSE)))),Lookups!$H$19:$J$100,3,FALSE),
IFERROR($D18*VLOOKUP($C18&amp;"|"&amp;VLOOKUP('Stage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8" s="180"/>
      <c r="I18" s="181"/>
      <c r="J18" s="181"/>
      <c r="K18" s="181"/>
    </row>
    <row r="19" spans="1:11" x14ac:dyDescent="0.25">
      <c r="A19" s="153"/>
      <c r="B19" s="1"/>
      <c r="C19" s="110"/>
      <c r="D19" s="218"/>
      <c r="E19" s="203" t="str">
        <f>IF(OR(ISBLANK($C19),ISBLANK($D19),ISBLANK($E$10),ISBLANK($E$11)),"",IFERROR($D19*VLOOKUP((IF(OR($C19="Residential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2'!$E$11,Lookups!$C$104:$E$126,3,FALSE)&amp;"|"&amp;VLOOKUP($E$10,Lookups!$C$135:$D$140,2,FALSE)))),Lookups!$H$19:$J$100,2,FALSE),
IFERROR(IFERROR($D19*VLOOKUP($C19&amp;"|"&amp;VLOOKUP('Stage 2'!$E$12,Lookups!$C$144:$D$145,2,FALSE)&amp;"|"&amp;VLOOKUP('Stage 2'!$E$11,Lookups!$C$104:$E$126,3,FALSE)&amp;"|"&amp;VLOOKUP($E$10,Lookups!$C$135:$D$140,2,FALSE),Lookups!$H$19:$J$100,2,FALSE),IFERROR($D19*VLOOKUP($C19&amp;"|"&amp;"TRUE"&amp;"|"&amp;VLOOKUP('Stage 2'!$E$11,Lookups!$C$104:$E$126,3,FALSE)&amp;"|"&amp;VLOOKUP($E$10,Lookups!$C$135:$D$140,2,FALSE),Lookups!$H$19:$J$100,2,FALSE),$D19*VLOOKUP($C19&amp;"|"&amp;VLOOKUP('Stage 2'!$E$12,Lookups!$C$144:$D$145,2,FALSE)&amp;"|"&amp;VLOOKUP('Stage 2'!$E$11,Lookups!$C$104:$E$126,3,FALSE)&amp;"|"&amp;"DrainedArGr",Lookups!$H$19:$J$100,2,FALSE))),IFERROR($D19*VLOOKUP($C19&amp;"|"&amp;VLOOKUP('Stage 2'!$E$11,Lookups!$C$104:$E$126,3,FALSE),Lookups!$K$19:$M$92,2,FALSE),$D19*VLOOKUP($C19,Lookups!$D$19:$O$92,11,FALSE)))))</f>
        <v/>
      </c>
      <c r="F19" s="202" t="str">
        <f>IF(OR(ISBLANK($C19),ISBLANK($D19),ISBLANK($E$10),ISBLANK($E$11)),"",IFERROR($D19*VLOOKUP((IF(OR($C19="Residential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2'!$E$11,Lookups!$C$104:$E$126,3,FALSE)&amp;"|"&amp;VLOOKUP($E$10,Lookups!$C$135:$D$140,2,FALSE)))),Lookups!$H$19:$J$100,3,FALSE),
IFERROR(IFERROR($D19*VLOOKUP($C19&amp;"|"&amp;VLOOKUP('Stage 2'!$E$12,Lookups!$C$144:$D$145,2,FALSE)&amp;"|"&amp;VLOOKUP('Stage 2'!$E$11,Lookups!$C$104:$E$126,3,FALSE)&amp;"|"&amp;VLOOKUP($E$10,Lookups!$C$135:$D$140,2,FALSE),Lookups!$H$19:$J$100,3,FALSE),IFERROR($D19*VLOOKUP($C19&amp;"|"&amp;"TRUE"&amp;"|"&amp;VLOOKUP('Stage 2'!$E$11,Lookups!$C$104:$E$126,3,FALSE)&amp;"|"&amp;VLOOKUP($E$10,Lookups!$C$135:$D$140,2,FALSE),Lookups!$H$19:$J$100,3,FALSE),$D19*VLOOKUP($C19&amp;"|"&amp;VLOOKUP('Stage 2'!$E$12,Lookups!$C$144:$D$145,2,FALSE)&amp;"|"&amp;VLOOKUP('Stage 2'!$E$11,Lookups!$C$104:$E$126,3,FALSE)&amp;"|"&amp;"DrainedArGr",Lookups!$H$19:$J$100,3,FALSE))),IFERROR($D19*VLOOKUP($C19&amp;"|"&amp;VLOOKUP('Stage 2'!$E$11,Lookups!$C$104:$E$126,3,FALSE),Lookups!$K$19:$M$92,3,FALSE),$D19*VLOOKUP($C19,Lookups!$D$19:$O$92,12,FALSE)))))</f>
        <v/>
      </c>
      <c r="G19" s="232" t="str">
        <f>IF(
OR(ISBLANK($C19),ISBLANK($D19),ISBLANK($E$10),ISBLANK($E$9),ISBLANK($E$11),$C19="Residential urban land",$C19="Commercial/industrial urban land",$C19="Open urban land",$C19="Greenspace",$C19="Community food growing",$C19="Woodland",$C19="Shrub",$C19="Water"),"",IFERROR($D19*VLOOKUP((IF(
OR($C19="Residential urban land",$C19="Commercial/industrial urban land",$C19="Open urban land",$C19="Greenspace",$C19="Community food growing",$C19="Woodland",$C19="Shrub",$C19="Water"),"|||"&amp;$C19,(VLOOKUP('Stage 2'!$E$9,Lookups!$C$135:$D$140,2,FALSE)&amp;"|"&amp;$C19&amp;"|"&amp;VLOOKUP('Stage 2'!$E$12,Lookups!$C$144:$D$145,2,FALSE)&amp;"|"&amp;VLOOKUP('Stage 2'!$E$11,Lookups!$C$104:$E$126,3,FALSE)&amp;"|"&amp;VLOOKUP($E$10,Lookups!$C$135:$D$140,2,FALSE)))),Lookups!$H$19:$J$100,3,FALSE),
IFERROR($D19*VLOOKUP($C19&amp;"|"&amp;VLOOKUP('Stage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19" s="180"/>
      <c r="I19" s="181"/>
      <c r="J19" s="181"/>
      <c r="K19" s="181"/>
    </row>
    <row r="20" spans="1:11" x14ac:dyDescent="0.25">
      <c r="A20" s="153"/>
      <c r="B20" s="1"/>
      <c r="C20" s="110"/>
      <c r="D20" s="218"/>
      <c r="E20" s="203" t="str">
        <f>IF(OR(ISBLANK($C20),ISBLANK($D20),ISBLANK($E$10),ISBLANK($E$11)),"",IFERROR($D20*VLOOKUP((IF(OR($C20="Residential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2'!$E$11,Lookups!$C$104:$E$126,3,FALSE)&amp;"|"&amp;VLOOKUP($E$10,Lookups!$C$135:$D$140,2,FALSE)))),Lookups!$H$19:$J$100,2,FALSE),
IFERROR(IFERROR($D20*VLOOKUP($C20&amp;"|"&amp;VLOOKUP('Stage 2'!$E$12,Lookups!$C$144:$D$145,2,FALSE)&amp;"|"&amp;VLOOKUP('Stage 2'!$E$11,Lookups!$C$104:$E$126,3,FALSE)&amp;"|"&amp;VLOOKUP($E$10,Lookups!$C$135:$D$140,2,FALSE),Lookups!$H$19:$J$100,2,FALSE),IFERROR($D20*VLOOKUP($C20&amp;"|"&amp;"TRUE"&amp;"|"&amp;VLOOKUP('Stage 2'!$E$11,Lookups!$C$104:$E$126,3,FALSE)&amp;"|"&amp;VLOOKUP($E$10,Lookups!$C$135:$D$140,2,FALSE),Lookups!$H$19:$J$100,2,FALSE),$D20*VLOOKUP($C20&amp;"|"&amp;VLOOKUP('Stage 2'!$E$12,Lookups!$C$144:$D$145,2,FALSE)&amp;"|"&amp;VLOOKUP('Stage 2'!$E$11,Lookups!$C$104:$E$126,3,FALSE)&amp;"|"&amp;"DrainedArGr",Lookups!$H$19:$J$100,2,FALSE))),IFERROR($D20*VLOOKUP($C20&amp;"|"&amp;VLOOKUP('Stage 2'!$E$11,Lookups!$C$104:$E$126,3,FALSE),Lookups!$K$19:$M$92,2,FALSE),$D20*VLOOKUP($C20,Lookups!$D$19:$O$92,11,FALSE)))))</f>
        <v/>
      </c>
      <c r="F20" s="202" t="str">
        <f>IF(OR(ISBLANK($C20),ISBLANK($D20),ISBLANK($E$10),ISBLANK($E$11)),"",IFERROR($D20*VLOOKUP((IF(OR($C20="Residential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2'!$E$11,Lookups!$C$104:$E$126,3,FALSE)&amp;"|"&amp;VLOOKUP($E$10,Lookups!$C$135:$D$140,2,FALSE)))),Lookups!$H$19:$J$100,3,FALSE),
IFERROR(IFERROR($D20*VLOOKUP($C20&amp;"|"&amp;VLOOKUP('Stage 2'!$E$12,Lookups!$C$144:$D$145,2,FALSE)&amp;"|"&amp;VLOOKUP('Stage 2'!$E$11,Lookups!$C$104:$E$126,3,FALSE)&amp;"|"&amp;VLOOKUP($E$10,Lookups!$C$135:$D$140,2,FALSE),Lookups!$H$19:$J$100,3,FALSE),IFERROR($D20*VLOOKUP($C20&amp;"|"&amp;"TRUE"&amp;"|"&amp;VLOOKUP('Stage 2'!$E$11,Lookups!$C$104:$E$126,3,FALSE)&amp;"|"&amp;VLOOKUP($E$10,Lookups!$C$135:$D$140,2,FALSE),Lookups!$H$19:$J$100,3,FALSE),$D20*VLOOKUP($C20&amp;"|"&amp;VLOOKUP('Stage 2'!$E$12,Lookups!$C$144:$D$145,2,FALSE)&amp;"|"&amp;VLOOKUP('Stage 2'!$E$11,Lookups!$C$104:$E$126,3,FALSE)&amp;"|"&amp;"DrainedArGr",Lookups!$H$19:$J$100,3,FALSE))),IFERROR($D20*VLOOKUP($C20&amp;"|"&amp;VLOOKUP('Stage 2'!$E$11,Lookups!$C$104:$E$126,3,FALSE),Lookups!$K$19:$M$92,3,FALSE),$D20*VLOOKUP($C20,Lookups!$D$19:$O$92,12,FALSE)))))</f>
        <v/>
      </c>
      <c r="G20" s="232" t="str">
        <f>IF(
OR(ISBLANK($C20),ISBLANK($D20),ISBLANK($E$10),ISBLANK($E$9),ISBLANK($E$11),$C20="Residential urban land",$C20="Commercial/industrial urban land",$C20="Open urban land",$C20="Greenspace",$C20="Community food growing",$C20="Woodland",$C20="Shrub",$C20="Water"),"",IFERROR($D20*VLOOKUP((IF(
OR($C20="Residential urban land",$C20="Commercial/industrial urban land",$C20="Open urban land",$C20="Greenspace",$C20="Community food growing",$C20="Woodland",$C20="Shrub",$C20="Water"),"|||"&amp;$C20,(VLOOKUP('Stage 2'!$E$9,Lookups!$C$135:$D$140,2,FALSE)&amp;"|"&amp;$C20&amp;"|"&amp;VLOOKUP('Stage 2'!$E$12,Lookups!$C$144:$D$145,2,FALSE)&amp;"|"&amp;VLOOKUP('Stage 2'!$E$11,Lookups!$C$104:$E$126,3,FALSE)&amp;"|"&amp;VLOOKUP($E$10,Lookups!$C$135:$D$140,2,FALSE)))),Lookups!$H$19:$J$100,3,FALSE),
IFERROR($D20*VLOOKUP($C20&amp;"|"&amp;VLOOKUP('Stage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0" s="180"/>
      <c r="I20" s="181"/>
      <c r="J20" s="181"/>
      <c r="K20" s="181"/>
    </row>
    <row r="21" spans="1:11" x14ac:dyDescent="0.25">
      <c r="A21" s="153"/>
      <c r="B21" s="1"/>
      <c r="C21" s="110"/>
      <c r="D21" s="218"/>
      <c r="E21" s="203" t="str">
        <f>IF(OR(ISBLANK($C21),ISBLANK($D21),ISBLANK($E$10),ISBLANK($E$11)),"",IFERROR($D21*VLOOKUP((IF(OR($C21="Residential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2'!$E$11,Lookups!$C$104:$E$126,3,FALSE)&amp;"|"&amp;VLOOKUP($E$10,Lookups!$C$135:$D$140,2,FALSE)))),Lookups!$H$19:$J$100,2,FALSE),
IFERROR(IFERROR($D21*VLOOKUP($C21&amp;"|"&amp;VLOOKUP('Stage 2'!$E$12,Lookups!$C$144:$D$145,2,FALSE)&amp;"|"&amp;VLOOKUP('Stage 2'!$E$11,Lookups!$C$104:$E$126,3,FALSE)&amp;"|"&amp;VLOOKUP($E$10,Lookups!$C$135:$D$140,2,FALSE),Lookups!$H$19:$J$100,2,FALSE),IFERROR($D21*VLOOKUP($C21&amp;"|"&amp;"TRUE"&amp;"|"&amp;VLOOKUP('Stage 2'!$E$11,Lookups!$C$104:$E$126,3,FALSE)&amp;"|"&amp;VLOOKUP($E$10,Lookups!$C$135:$D$140,2,FALSE),Lookups!$H$19:$J$100,2,FALSE),$D21*VLOOKUP($C21&amp;"|"&amp;VLOOKUP('Stage 2'!$E$12,Lookups!$C$144:$D$145,2,FALSE)&amp;"|"&amp;VLOOKUP('Stage 2'!$E$11,Lookups!$C$104:$E$126,3,FALSE)&amp;"|"&amp;"DrainedArGr",Lookups!$H$19:$J$100,2,FALSE))),IFERROR($D21*VLOOKUP($C21&amp;"|"&amp;VLOOKUP('Stage 2'!$E$11,Lookups!$C$104:$E$126,3,FALSE),Lookups!$K$19:$M$92,2,FALSE),$D21*VLOOKUP($C21,Lookups!$D$19:$O$92,11,FALSE)))))</f>
        <v/>
      </c>
      <c r="F21" s="202" t="str">
        <f>IF(OR(ISBLANK($C21),ISBLANK($D21),ISBLANK($E$10),ISBLANK($E$11)),"",IFERROR($D21*VLOOKUP((IF(OR($C21="Residential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2'!$E$11,Lookups!$C$104:$E$126,3,FALSE)&amp;"|"&amp;VLOOKUP($E$10,Lookups!$C$135:$D$140,2,FALSE)))),Lookups!$H$19:$J$100,3,FALSE),
IFERROR(IFERROR($D21*VLOOKUP($C21&amp;"|"&amp;VLOOKUP('Stage 2'!$E$12,Lookups!$C$144:$D$145,2,FALSE)&amp;"|"&amp;VLOOKUP('Stage 2'!$E$11,Lookups!$C$104:$E$126,3,FALSE)&amp;"|"&amp;VLOOKUP($E$10,Lookups!$C$135:$D$140,2,FALSE),Lookups!$H$19:$J$100,3,FALSE),IFERROR($D21*VLOOKUP($C21&amp;"|"&amp;"TRUE"&amp;"|"&amp;VLOOKUP('Stage 2'!$E$11,Lookups!$C$104:$E$126,3,FALSE)&amp;"|"&amp;VLOOKUP($E$10,Lookups!$C$135:$D$140,2,FALSE),Lookups!$H$19:$J$100,3,FALSE),$D21*VLOOKUP($C21&amp;"|"&amp;VLOOKUP('Stage 2'!$E$12,Lookups!$C$144:$D$145,2,FALSE)&amp;"|"&amp;VLOOKUP('Stage 2'!$E$11,Lookups!$C$104:$E$126,3,FALSE)&amp;"|"&amp;"DrainedArGr",Lookups!$H$19:$J$100,3,FALSE))),IFERROR($D21*VLOOKUP($C21&amp;"|"&amp;VLOOKUP('Stage 2'!$E$11,Lookups!$C$104:$E$126,3,FALSE),Lookups!$K$19:$M$92,3,FALSE),$D21*VLOOKUP($C21,Lookups!$D$19:$O$92,12,FALSE)))))</f>
        <v/>
      </c>
      <c r="G21" s="232" t="str">
        <f>IF(
OR(ISBLANK($C21),ISBLANK($D21),ISBLANK($E$10),ISBLANK($E$9),ISBLANK($E$11),$C21="Residential urban land",$C21="Commercial/industrial urban land",$C21="Open urban land",$C21="Greenspace",$C21="Community food growing",$C21="Woodland",$C21="Shrub",$C21="Water"),"",IFERROR($D21*VLOOKUP((IF(
OR($C21="Residential urban land",$C21="Commercial/industrial urban land",$C21="Open urban land",$C21="Greenspace",$C21="Community food growing",$C21="Woodland",$C21="Shrub",$C21="Water"),"|||"&amp;$C21,(VLOOKUP('Stage 2'!$E$9,Lookups!$C$135:$D$140,2,FALSE)&amp;"|"&amp;$C21&amp;"|"&amp;VLOOKUP('Stage 2'!$E$12,Lookups!$C$144:$D$145,2,FALSE)&amp;"|"&amp;VLOOKUP('Stage 2'!$E$11,Lookups!$C$104:$E$126,3,FALSE)&amp;"|"&amp;VLOOKUP($E$10,Lookups!$C$135:$D$140,2,FALSE)))),Lookups!$H$19:$J$100,3,FALSE),
IFERROR($D21*VLOOKUP($C21&amp;"|"&amp;VLOOKUP('Stage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1" s="174"/>
    </row>
    <row r="22" spans="1:11" x14ac:dyDescent="0.25">
      <c r="A22" s="153"/>
      <c r="B22" s="1"/>
      <c r="C22" s="110"/>
      <c r="D22" s="218"/>
      <c r="E22" s="203" t="str">
        <f>IF(OR(ISBLANK($C22),ISBLANK($D22),ISBLANK($E$10),ISBLANK($E$11)),"",IFERROR($D22*VLOOKUP((IF(OR($C22="Residential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2'!$E$11,Lookups!$C$104:$E$126,3,FALSE)&amp;"|"&amp;VLOOKUP($E$10,Lookups!$C$135:$D$140,2,FALSE)))),Lookups!$H$19:$J$100,2,FALSE),
IFERROR(IFERROR($D22*VLOOKUP($C22&amp;"|"&amp;VLOOKUP('Stage 2'!$E$12,Lookups!$C$144:$D$145,2,FALSE)&amp;"|"&amp;VLOOKUP('Stage 2'!$E$11,Lookups!$C$104:$E$126,3,FALSE)&amp;"|"&amp;VLOOKUP($E$10,Lookups!$C$135:$D$140,2,FALSE),Lookups!$H$19:$J$100,2,FALSE),IFERROR($D22*VLOOKUP($C22&amp;"|"&amp;"TRUE"&amp;"|"&amp;VLOOKUP('Stage 2'!$E$11,Lookups!$C$104:$E$126,3,FALSE)&amp;"|"&amp;VLOOKUP($E$10,Lookups!$C$135:$D$140,2,FALSE),Lookups!$H$19:$J$100,2,FALSE),$D22*VLOOKUP($C22&amp;"|"&amp;VLOOKUP('Stage 2'!$E$12,Lookups!$C$144:$D$145,2,FALSE)&amp;"|"&amp;VLOOKUP('Stage 2'!$E$11,Lookups!$C$104:$E$126,3,FALSE)&amp;"|"&amp;"DrainedArGr",Lookups!$H$19:$J$100,2,FALSE))),IFERROR($D22*VLOOKUP($C22&amp;"|"&amp;VLOOKUP('Stage 2'!$E$11,Lookups!$C$104:$E$126,3,FALSE),Lookups!$K$19:$M$92,2,FALSE),$D22*VLOOKUP($C22,Lookups!$D$19:$O$92,11,FALSE)))))</f>
        <v/>
      </c>
      <c r="F22" s="202" t="str">
        <f>IF(OR(ISBLANK($C22),ISBLANK($D22),ISBLANK($E$10),ISBLANK($E$11)),"",IFERROR($D22*VLOOKUP((IF(OR($C22="Residential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2'!$E$11,Lookups!$C$104:$E$126,3,FALSE)&amp;"|"&amp;VLOOKUP($E$10,Lookups!$C$135:$D$140,2,FALSE)))),Lookups!$H$19:$J$100,3,FALSE),
IFERROR(IFERROR($D22*VLOOKUP($C22&amp;"|"&amp;VLOOKUP('Stage 2'!$E$12,Lookups!$C$144:$D$145,2,FALSE)&amp;"|"&amp;VLOOKUP('Stage 2'!$E$11,Lookups!$C$104:$E$126,3,FALSE)&amp;"|"&amp;VLOOKUP($E$10,Lookups!$C$135:$D$140,2,FALSE),Lookups!$H$19:$J$100,3,FALSE),IFERROR($D22*VLOOKUP($C22&amp;"|"&amp;"TRUE"&amp;"|"&amp;VLOOKUP('Stage 2'!$E$11,Lookups!$C$104:$E$126,3,FALSE)&amp;"|"&amp;VLOOKUP($E$10,Lookups!$C$135:$D$140,2,FALSE),Lookups!$H$19:$J$100,3,FALSE),$D22*VLOOKUP($C22&amp;"|"&amp;VLOOKUP('Stage 2'!$E$12,Lookups!$C$144:$D$145,2,FALSE)&amp;"|"&amp;VLOOKUP('Stage 2'!$E$11,Lookups!$C$104:$E$126,3,FALSE)&amp;"|"&amp;"DrainedArGr",Lookups!$H$19:$J$100,3,FALSE))),IFERROR($D22*VLOOKUP($C22&amp;"|"&amp;VLOOKUP('Stage 2'!$E$11,Lookups!$C$104:$E$126,3,FALSE),Lookups!$K$19:$M$92,3,FALSE),$D22*VLOOKUP($C22,Lookups!$D$19:$O$92,12,FALSE)))))</f>
        <v/>
      </c>
      <c r="G22" s="232" t="str">
        <f>IF(
OR(ISBLANK($C22),ISBLANK($D22),ISBLANK($E$10),ISBLANK($E$9),ISBLANK($E$11),$C22="Residential urban land",$C22="Commercial/industrial urban land",$C22="Open urban land",$C22="Greenspace",$C22="Community food growing",$C22="Woodland",$C22="Shrub",$C22="Water"),"",IFERROR($D22*VLOOKUP((IF(
OR($C22="Residential urban land",$C22="Commercial/industrial urban land",$C22="Open urban land",$C22="Greenspace",$C22="Community food growing",$C22="Woodland",$C22="Shrub",$C22="Water"),"|||"&amp;$C22,(VLOOKUP('Stage 2'!$E$9,Lookups!$C$135:$D$140,2,FALSE)&amp;"|"&amp;$C22&amp;"|"&amp;VLOOKUP('Stage 2'!$E$12,Lookups!$C$144:$D$145,2,FALSE)&amp;"|"&amp;VLOOKUP('Stage 2'!$E$11,Lookups!$C$104:$E$126,3,FALSE)&amp;"|"&amp;VLOOKUP($E$10,Lookups!$C$135:$D$140,2,FALSE)))),Lookups!$H$19:$J$100,3,FALSE),
IFERROR($D22*VLOOKUP($C22&amp;"|"&amp;VLOOKUP('Stage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2" s="174"/>
    </row>
    <row r="23" spans="1:11" x14ac:dyDescent="0.25">
      <c r="A23" s="153"/>
      <c r="B23" s="1"/>
      <c r="C23" s="110"/>
      <c r="D23" s="218"/>
      <c r="E23" s="203" t="str">
        <f>IF(OR(ISBLANK($C23),ISBLANK($D23),ISBLANK($E$10),ISBLANK($E$11)),"",IFERROR($D23*VLOOKUP((IF(OR($C23="Residential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2'!$E$11,Lookups!$C$104:$E$126,3,FALSE)&amp;"|"&amp;VLOOKUP($E$10,Lookups!$C$135:$D$140,2,FALSE)))),Lookups!$H$19:$J$100,2,FALSE),
IFERROR(IFERROR($D23*VLOOKUP($C23&amp;"|"&amp;VLOOKUP('Stage 2'!$E$12,Lookups!$C$144:$D$145,2,FALSE)&amp;"|"&amp;VLOOKUP('Stage 2'!$E$11,Lookups!$C$104:$E$126,3,FALSE)&amp;"|"&amp;VLOOKUP($E$10,Lookups!$C$135:$D$140,2,FALSE),Lookups!$H$19:$J$100,2,FALSE),IFERROR($D23*VLOOKUP($C23&amp;"|"&amp;"TRUE"&amp;"|"&amp;VLOOKUP('Stage 2'!$E$11,Lookups!$C$104:$E$126,3,FALSE)&amp;"|"&amp;VLOOKUP($E$10,Lookups!$C$135:$D$140,2,FALSE),Lookups!$H$19:$J$100,2,FALSE),$D23*VLOOKUP($C23&amp;"|"&amp;VLOOKUP('Stage 2'!$E$12,Lookups!$C$144:$D$145,2,FALSE)&amp;"|"&amp;VLOOKUP('Stage 2'!$E$11,Lookups!$C$104:$E$126,3,FALSE)&amp;"|"&amp;"DrainedArGr",Lookups!$H$19:$J$100,2,FALSE))),IFERROR($D23*VLOOKUP($C23&amp;"|"&amp;VLOOKUP('Stage 2'!$E$11,Lookups!$C$104:$E$126,3,FALSE),Lookups!$K$19:$M$92,2,FALSE),$D23*VLOOKUP($C23,Lookups!$D$19:$O$92,11,FALSE)))))</f>
        <v/>
      </c>
      <c r="F23" s="202" t="str">
        <f>IF(OR(ISBLANK($C23),ISBLANK($D23),ISBLANK($E$10),ISBLANK($E$11)),"",IFERROR($D23*VLOOKUP((IF(OR($C23="Residential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2'!$E$11,Lookups!$C$104:$E$126,3,FALSE)&amp;"|"&amp;VLOOKUP($E$10,Lookups!$C$135:$D$140,2,FALSE)))),Lookups!$H$19:$J$100,3,FALSE),
IFERROR(IFERROR($D23*VLOOKUP($C23&amp;"|"&amp;VLOOKUP('Stage 2'!$E$12,Lookups!$C$144:$D$145,2,FALSE)&amp;"|"&amp;VLOOKUP('Stage 2'!$E$11,Lookups!$C$104:$E$126,3,FALSE)&amp;"|"&amp;VLOOKUP($E$10,Lookups!$C$135:$D$140,2,FALSE),Lookups!$H$19:$J$100,3,FALSE),IFERROR($D23*VLOOKUP($C23&amp;"|"&amp;"TRUE"&amp;"|"&amp;VLOOKUP('Stage 2'!$E$11,Lookups!$C$104:$E$126,3,FALSE)&amp;"|"&amp;VLOOKUP($E$10,Lookups!$C$135:$D$140,2,FALSE),Lookups!$H$19:$J$100,3,FALSE),$D23*VLOOKUP($C23&amp;"|"&amp;VLOOKUP('Stage 2'!$E$12,Lookups!$C$144:$D$145,2,FALSE)&amp;"|"&amp;VLOOKUP('Stage 2'!$E$11,Lookups!$C$104:$E$126,3,FALSE)&amp;"|"&amp;"DrainedArGr",Lookups!$H$19:$J$100,3,FALSE))),IFERROR($D23*VLOOKUP($C23&amp;"|"&amp;VLOOKUP('Stage 2'!$E$11,Lookups!$C$104:$E$126,3,FALSE),Lookups!$K$19:$M$92,3,FALSE),$D23*VLOOKUP($C23,Lookups!$D$19:$O$92,12,FALSE)))))</f>
        <v/>
      </c>
      <c r="G23" s="232" t="str">
        <f>IF(
OR(ISBLANK($C23),ISBLANK($D23),ISBLANK($E$10),ISBLANK($E$9),ISBLANK($E$11),$C23="Residential urban land",$C23="Commercial/industrial urban land",$C23="Open urban land",$C23="Greenspace",$C23="Community food growing",$C23="Woodland",$C23="Shrub",$C23="Water"),"",IFERROR($D23*VLOOKUP((IF(
OR($C23="Residential urban land",$C23="Commercial/industrial urban land",$C23="Open urban land",$C23="Greenspace",$C23="Community food growing",$C23="Woodland",$C23="Shrub",$C23="Water"),"|||"&amp;$C23,(VLOOKUP('Stage 2'!$E$9,Lookups!$C$135:$D$140,2,FALSE)&amp;"|"&amp;$C23&amp;"|"&amp;VLOOKUP('Stage 2'!$E$12,Lookups!$C$144:$D$145,2,FALSE)&amp;"|"&amp;VLOOKUP('Stage 2'!$E$11,Lookups!$C$104:$E$126,3,FALSE)&amp;"|"&amp;VLOOKUP($E$10,Lookups!$C$135:$D$140,2,FALSE)))),Lookups!$H$19:$J$100,3,FALSE),
IFERROR($D23*VLOOKUP($C23&amp;"|"&amp;VLOOKUP('Stage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3" s="174"/>
    </row>
    <row r="24" spans="1:11" x14ac:dyDescent="0.25">
      <c r="A24" s="153"/>
      <c r="B24" s="1"/>
      <c r="C24" s="110"/>
      <c r="D24" s="218"/>
      <c r="E24" s="203" t="str">
        <f>IF(OR(ISBLANK($C24),ISBLANK($D24),ISBLANK($E$10),ISBLANK($E$11)),"",IFERROR($D24*VLOOKUP((IF(OR($C24="Residential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2'!$E$11,Lookups!$C$104:$E$126,3,FALSE)&amp;"|"&amp;VLOOKUP($E$10,Lookups!$C$135:$D$140,2,FALSE)))),Lookups!$H$19:$J$100,2,FALSE),
IFERROR(IFERROR($D24*VLOOKUP($C24&amp;"|"&amp;VLOOKUP('Stage 2'!$E$12,Lookups!$C$144:$D$145,2,FALSE)&amp;"|"&amp;VLOOKUP('Stage 2'!$E$11,Lookups!$C$104:$E$126,3,FALSE)&amp;"|"&amp;VLOOKUP($E$10,Lookups!$C$135:$D$140,2,FALSE),Lookups!$H$19:$J$100,2,FALSE),IFERROR($D24*VLOOKUP($C24&amp;"|"&amp;"TRUE"&amp;"|"&amp;VLOOKUP('Stage 2'!$E$11,Lookups!$C$104:$E$126,3,FALSE)&amp;"|"&amp;VLOOKUP($E$10,Lookups!$C$135:$D$140,2,FALSE),Lookups!$H$19:$J$100,2,FALSE),$D24*VLOOKUP($C24&amp;"|"&amp;VLOOKUP('Stage 2'!$E$12,Lookups!$C$144:$D$145,2,FALSE)&amp;"|"&amp;VLOOKUP('Stage 2'!$E$11,Lookups!$C$104:$E$126,3,FALSE)&amp;"|"&amp;"DrainedArGr",Lookups!$H$19:$J$100,2,FALSE))),IFERROR($D24*VLOOKUP($C24&amp;"|"&amp;VLOOKUP('Stage 2'!$E$11,Lookups!$C$104:$E$126,3,FALSE),Lookups!$K$19:$M$92,2,FALSE),$D24*VLOOKUP($C24,Lookups!$D$19:$O$92,11,FALSE)))))</f>
        <v/>
      </c>
      <c r="F24" s="202" t="str">
        <f>IF(OR(ISBLANK($C24),ISBLANK($D24),ISBLANK($E$10),ISBLANK($E$11)),"",IFERROR($D24*VLOOKUP((IF(OR($C24="Residential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2'!$E$11,Lookups!$C$104:$E$126,3,FALSE)&amp;"|"&amp;VLOOKUP($E$10,Lookups!$C$135:$D$140,2,FALSE)))),Lookups!$H$19:$J$100,3,FALSE),
IFERROR(IFERROR($D24*VLOOKUP($C24&amp;"|"&amp;VLOOKUP('Stage 2'!$E$12,Lookups!$C$144:$D$145,2,FALSE)&amp;"|"&amp;VLOOKUP('Stage 2'!$E$11,Lookups!$C$104:$E$126,3,FALSE)&amp;"|"&amp;VLOOKUP($E$10,Lookups!$C$135:$D$140,2,FALSE),Lookups!$H$19:$J$100,3,FALSE),IFERROR($D24*VLOOKUP($C24&amp;"|"&amp;"TRUE"&amp;"|"&amp;VLOOKUP('Stage 2'!$E$11,Lookups!$C$104:$E$126,3,FALSE)&amp;"|"&amp;VLOOKUP($E$10,Lookups!$C$135:$D$140,2,FALSE),Lookups!$H$19:$J$100,3,FALSE),$D24*VLOOKUP($C24&amp;"|"&amp;VLOOKUP('Stage 2'!$E$12,Lookups!$C$144:$D$145,2,FALSE)&amp;"|"&amp;VLOOKUP('Stage 2'!$E$11,Lookups!$C$104:$E$126,3,FALSE)&amp;"|"&amp;"DrainedArGr",Lookups!$H$19:$J$100,3,FALSE))),IFERROR($D24*VLOOKUP($C24&amp;"|"&amp;VLOOKUP('Stage 2'!$E$11,Lookups!$C$104:$E$126,3,FALSE),Lookups!$K$19:$M$92,3,FALSE),$D24*VLOOKUP($C24,Lookups!$D$19:$O$92,12,FALSE)))))</f>
        <v/>
      </c>
      <c r="G24" s="232" t="str">
        <f>IF(
OR(ISBLANK($C24),ISBLANK($D24),ISBLANK($E$10),ISBLANK($E$9),ISBLANK($E$11),$C24="Residential urban land",$C24="Commercial/industrial urban land",$C24="Open urban land",$C24="Greenspace",$C24="Community food growing",$C24="Woodland",$C24="Shrub",$C24="Water"),"",IFERROR($D24*VLOOKUP((IF(
OR($C24="Residential urban land",$C24="Commercial/industrial urban land",$C24="Open urban land",$C24="Greenspace",$C24="Community food growing",$C24="Woodland",$C24="Shrub",$C24="Water"),"|||"&amp;$C24,(VLOOKUP('Stage 2'!$E$9,Lookups!$C$135:$D$140,2,FALSE)&amp;"|"&amp;$C24&amp;"|"&amp;VLOOKUP('Stage 2'!$E$12,Lookups!$C$144:$D$145,2,FALSE)&amp;"|"&amp;VLOOKUP('Stage 2'!$E$11,Lookups!$C$104:$E$126,3,FALSE)&amp;"|"&amp;VLOOKUP($E$10,Lookups!$C$135:$D$140,2,FALSE)))),Lookups!$H$19:$J$100,3,FALSE),
IFERROR($D24*VLOOKUP($C24&amp;"|"&amp;VLOOKUP('Stage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4" s="174"/>
    </row>
    <row r="25" spans="1:11" x14ac:dyDescent="0.25">
      <c r="A25" s="153"/>
      <c r="B25" s="1"/>
      <c r="C25" s="110"/>
      <c r="D25" s="218"/>
      <c r="E25" s="203" t="str">
        <f>IF(OR(ISBLANK($C25),ISBLANK($D25),ISBLANK($E$10),ISBLANK($E$11)),"",IFERROR($D25*VLOOKUP((IF(OR($C25="Residential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2'!$E$11,Lookups!$C$104:$E$126,3,FALSE)&amp;"|"&amp;VLOOKUP($E$10,Lookups!$C$135:$D$140,2,FALSE)))),Lookups!$H$19:$J$100,2,FALSE),
IFERROR(IFERROR($D25*VLOOKUP($C25&amp;"|"&amp;VLOOKUP('Stage 2'!$E$12,Lookups!$C$144:$D$145,2,FALSE)&amp;"|"&amp;VLOOKUP('Stage 2'!$E$11,Lookups!$C$104:$E$126,3,FALSE)&amp;"|"&amp;VLOOKUP($E$10,Lookups!$C$135:$D$140,2,FALSE),Lookups!$H$19:$J$100,2,FALSE),IFERROR($D25*VLOOKUP($C25&amp;"|"&amp;"TRUE"&amp;"|"&amp;VLOOKUP('Stage 2'!$E$11,Lookups!$C$104:$E$126,3,FALSE)&amp;"|"&amp;VLOOKUP($E$10,Lookups!$C$135:$D$140,2,FALSE),Lookups!$H$19:$J$100,2,FALSE),$D25*VLOOKUP($C25&amp;"|"&amp;VLOOKUP('Stage 2'!$E$12,Lookups!$C$144:$D$145,2,FALSE)&amp;"|"&amp;VLOOKUP('Stage 2'!$E$11,Lookups!$C$104:$E$126,3,FALSE)&amp;"|"&amp;"DrainedArGr",Lookups!$H$19:$J$100,2,FALSE))),IFERROR($D25*VLOOKUP($C25&amp;"|"&amp;VLOOKUP('Stage 2'!$E$11,Lookups!$C$104:$E$126,3,FALSE),Lookups!$K$19:$M$92,2,FALSE),$D25*VLOOKUP($C25,Lookups!$D$19:$O$92,11,FALSE)))))</f>
        <v/>
      </c>
      <c r="F25" s="202" t="str">
        <f>IF(OR(ISBLANK($C25),ISBLANK($D25),ISBLANK($E$10),ISBLANK($E$11)),"",IFERROR($D25*VLOOKUP((IF(OR($C25="Residential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2'!$E$11,Lookups!$C$104:$E$126,3,FALSE)&amp;"|"&amp;VLOOKUP($E$10,Lookups!$C$135:$D$140,2,FALSE)))),Lookups!$H$19:$J$100,3,FALSE),
IFERROR(IFERROR($D25*VLOOKUP($C25&amp;"|"&amp;VLOOKUP('Stage 2'!$E$12,Lookups!$C$144:$D$145,2,FALSE)&amp;"|"&amp;VLOOKUP('Stage 2'!$E$11,Lookups!$C$104:$E$126,3,FALSE)&amp;"|"&amp;VLOOKUP($E$10,Lookups!$C$135:$D$140,2,FALSE),Lookups!$H$19:$J$100,3,FALSE),IFERROR($D25*VLOOKUP($C25&amp;"|"&amp;"TRUE"&amp;"|"&amp;VLOOKUP('Stage 2'!$E$11,Lookups!$C$104:$E$126,3,FALSE)&amp;"|"&amp;VLOOKUP($E$10,Lookups!$C$135:$D$140,2,FALSE),Lookups!$H$19:$J$100,3,FALSE),$D25*VLOOKUP($C25&amp;"|"&amp;VLOOKUP('Stage 2'!$E$12,Lookups!$C$144:$D$145,2,FALSE)&amp;"|"&amp;VLOOKUP('Stage 2'!$E$11,Lookups!$C$104:$E$126,3,FALSE)&amp;"|"&amp;"DrainedArGr",Lookups!$H$19:$J$100,3,FALSE))),IFERROR($D25*VLOOKUP($C25&amp;"|"&amp;VLOOKUP('Stage 2'!$E$11,Lookups!$C$104:$E$126,3,FALSE),Lookups!$K$19:$M$92,3,FALSE),$D25*VLOOKUP($C25,Lookups!$D$19:$O$92,12,FALSE)))))</f>
        <v/>
      </c>
      <c r="G25" s="232" t="str">
        <f>IF(
OR(ISBLANK($C25),ISBLANK($D25),ISBLANK($E$10),ISBLANK($E$9),ISBLANK($E$11),$C25="Residential urban land",$C25="Commercial/industrial urban land",$C25="Open urban land",$C25="Greenspace",$C25="Community food growing",$C25="Woodland",$C25="Shrub",$C25="Water"),"",IFERROR($D25*VLOOKUP((IF(
OR($C25="Residential urban land",$C25="Commercial/industrial urban land",$C25="Open urban land",$C25="Greenspace",$C25="Community food growing",$C25="Woodland",$C25="Shrub",$C25="Water"),"|||"&amp;$C25,(VLOOKUP('Stage 2'!$E$9,Lookups!$C$135:$D$140,2,FALSE)&amp;"|"&amp;$C25&amp;"|"&amp;VLOOKUP('Stage 2'!$E$12,Lookups!$C$144:$D$145,2,FALSE)&amp;"|"&amp;VLOOKUP('Stage 2'!$E$11,Lookups!$C$104:$E$126,3,FALSE)&amp;"|"&amp;VLOOKUP($E$10,Lookups!$C$135:$D$140,2,FALSE)))),Lookups!$H$19:$J$100,3,FALSE),
IFERROR($D25*VLOOKUP($C25&amp;"|"&amp;VLOOKUP('Stage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5" s="174"/>
    </row>
    <row r="26" spans="1:11" x14ac:dyDescent="0.25">
      <c r="A26" s="153"/>
      <c r="B26" s="1"/>
      <c r="C26" s="110"/>
      <c r="D26" s="218"/>
      <c r="E26" s="203" t="str">
        <f>IF(OR(ISBLANK($C26),ISBLANK($D26),ISBLANK($E$10),ISBLANK($E$11)),"",IFERROR($D26*VLOOKUP((IF(OR($C26="Residential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2'!$E$11,Lookups!$C$104:$E$126,3,FALSE)&amp;"|"&amp;VLOOKUP($E$10,Lookups!$C$135:$D$140,2,FALSE)))),Lookups!$H$19:$J$100,2,FALSE),
IFERROR(IFERROR($D26*VLOOKUP($C26&amp;"|"&amp;VLOOKUP('Stage 2'!$E$12,Lookups!$C$144:$D$145,2,FALSE)&amp;"|"&amp;VLOOKUP('Stage 2'!$E$11,Lookups!$C$104:$E$126,3,FALSE)&amp;"|"&amp;VLOOKUP($E$10,Lookups!$C$135:$D$140,2,FALSE),Lookups!$H$19:$J$100,2,FALSE),IFERROR($D26*VLOOKUP($C26&amp;"|"&amp;"TRUE"&amp;"|"&amp;VLOOKUP('Stage 2'!$E$11,Lookups!$C$104:$E$126,3,FALSE)&amp;"|"&amp;VLOOKUP($E$10,Lookups!$C$135:$D$140,2,FALSE),Lookups!$H$19:$J$100,2,FALSE),$D26*VLOOKUP($C26&amp;"|"&amp;VLOOKUP('Stage 2'!$E$12,Lookups!$C$144:$D$145,2,FALSE)&amp;"|"&amp;VLOOKUP('Stage 2'!$E$11,Lookups!$C$104:$E$126,3,FALSE)&amp;"|"&amp;"DrainedArGr",Lookups!$H$19:$J$100,2,FALSE))),IFERROR($D26*VLOOKUP($C26&amp;"|"&amp;VLOOKUP('Stage 2'!$E$11,Lookups!$C$104:$E$126,3,FALSE),Lookups!$K$19:$M$92,2,FALSE),$D26*VLOOKUP($C26,Lookups!$D$19:$O$92,11,FALSE)))))</f>
        <v/>
      </c>
      <c r="F26" s="202" t="str">
        <f>IF(OR(ISBLANK($C26),ISBLANK($D26),ISBLANK($E$10),ISBLANK($E$11)),"",IFERROR($D26*VLOOKUP((IF(OR($C26="Residential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2'!$E$11,Lookups!$C$104:$E$126,3,FALSE)&amp;"|"&amp;VLOOKUP($E$10,Lookups!$C$135:$D$140,2,FALSE)))),Lookups!$H$19:$J$100,3,FALSE),
IFERROR(IFERROR($D26*VLOOKUP($C26&amp;"|"&amp;VLOOKUP('Stage 2'!$E$12,Lookups!$C$144:$D$145,2,FALSE)&amp;"|"&amp;VLOOKUP('Stage 2'!$E$11,Lookups!$C$104:$E$126,3,FALSE)&amp;"|"&amp;VLOOKUP($E$10,Lookups!$C$135:$D$140,2,FALSE),Lookups!$H$19:$J$100,3,FALSE),IFERROR($D26*VLOOKUP($C26&amp;"|"&amp;"TRUE"&amp;"|"&amp;VLOOKUP('Stage 2'!$E$11,Lookups!$C$104:$E$126,3,FALSE)&amp;"|"&amp;VLOOKUP($E$10,Lookups!$C$135:$D$140,2,FALSE),Lookups!$H$19:$J$100,3,FALSE),$D26*VLOOKUP($C26&amp;"|"&amp;VLOOKUP('Stage 2'!$E$12,Lookups!$C$144:$D$145,2,FALSE)&amp;"|"&amp;VLOOKUP('Stage 2'!$E$11,Lookups!$C$104:$E$126,3,FALSE)&amp;"|"&amp;"DrainedArGr",Lookups!$H$19:$J$100,3,FALSE))),IFERROR($D26*VLOOKUP($C26&amp;"|"&amp;VLOOKUP('Stage 2'!$E$11,Lookups!$C$104:$E$126,3,FALSE),Lookups!$K$19:$M$92,3,FALSE),$D26*VLOOKUP($C26,Lookups!$D$19:$O$92,12,FALSE)))))</f>
        <v/>
      </c>
      <c r="G26" s="232" t="str">
        <f>IF(
OR(ISBLANK($C26),ISBLANK($D26),ISBLANK($E$10),ISBLANK($E$9),ISBLANK($E$11),$C26="Residential urban land",$C26="Commercial/industrial urban land",$C26="Open urban land",$C26="Greenspace",$C26="Community food growing",$C26="Woodland",$C26="Shrub",$C26="Water"),"",IFERROR($D26*VLOOKUP((IF(
OR($C26="Residential urban land",$C26="Commercial/industrial urban land",$C26="Open urban land",$C26="Greenspace",$C26="Community food growing",$C26="Woodland",$C26="Shrub",$C26="Water"),"|||"&amp;$C26,(VLOOKUP('Stage 2'!$E$9,Lookups!$C$135:$D$140,2,FALSE)&amp;"|"&amp;$C26&amp;"|"&amp;VLOOKUP('Stage 2'!$E$12,Lookups!$C$144:$D$145,2,FALSE)&amp;"|"&amp;VLOOKUP('Stage 2'!$E$11,Lookups!$C$104:$E$126,3,FALSE)&amp;"|"&amp;VLOOKUP($E$10,Lookups!$C$135:$D$140,2,FALSE)))),Lookups!$H$19:$J$100,3,FALSE),
IFERROR($D26*VLOOKUP($C26&amp;"|"&amp;VLOOKUP('Stage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6" s="174"/>
    </row>
    <row r="27" spans="1:11" x14ac:dyDescent="0.25">
      <c r="A27" s="153"/>
      <c r="B27" s="1"/>
      <c r="C27" s="110"/>
      <c r="D27" s="218"/>
      <c r="E27" s="203" t="str">
        <f>IF(OR(ISBLANK($C27),ISBLANK($D27),ISBLANK($E$10),ISBLANK($E$11)),"",IFERROR($D27*VLOOKUP((IF(OR($C27="Residential urban land",$C27="Commercial/industrial urban land",$C27="Open urban land",$C27="Greenspace",$C27="Community food growing",$C27="Woodland",$C27="Shrub", $C27="Water"), "|||"&amp;$C27, (VLOOKUP('Stage 2'!$E$9,Lookups!$C$130:$D$130,2,FALSE)&amp;"|"&amp;$C27&amp;"|"&amp;VLOOKUP('Stage 2'!$E$12,Lookups!$C$144:$D$145,2,FALSE)&amp;"|"&amp;VLOOKUP('Stage 2'!$E$11,Lookups!$C$104:$E$126,3,FALSE)&amp;"|"&amp;VLOOKUP($E$10,Lookups!$C$135:$D$140,2,FALSE)))),Lookups!$H$19:$J$100,2,FALSE),
IFERROR(IFERROR($D27*VLOOKUP($C27&amp;"|"&amp;VLOOKUP('Stage 2'!$E$12,Lookups!$C$144:$D$145,2,FALSE)&amp;"|"&amp;VLOOKUP('Stage 2'!$E$11,Lookups!$C$104:$E$126,3,FALSE)&amp;"|"&amp;VLOOKUP($E$10,Lookups!$C$135:$D$140,2,FALSE),Lookups!$H$19:$J$100,2,FALSE),IFERROR($D27*VLOOKUP($C27&amp;"|"&amp;"TRUE"&amp;"|"&amp;VLOOKUP('Stage 2'!$E$11,Lookups!$C$104:$E$126,3,FALSE)&amp;"|"&amp;VLOOKUP($E$10,Lookups!$C$135:$D$140,2,FALSE),Lookups!$H$19:$J$100,2,FALSE),$D27*VLOOKUP($C27&amp;"|"&amp;VLOOKUP('Stage 2'!$E$12,Lookups!$C$144:$D$145,2,FALSE)&amp;"|"&amp;VLOOKUP('Stage 2'!$E$11,Lookups!$C$104:$E$126,3,FALSE)&amp;"|"&amp;"DrainedArGr",Lookups!$H$19:$J$100,2,FALSE))),IFERROR($D27*VLOOKUP($C27&amp;"|"&amp;VLOOKUP('Stage 2'!$E$11,Lookups!$C$104:$E$126,3,FALSE),Lookups!$K$19:$M$92,2,FALSE),$D27*VLOOKUP($C27,Lookups!$D$19:$O$92,11,FALSE)))))</f>
        <v/>
      </c>
      <c r="F27" s="202" t="str">
        <f>IF(OR(ISBLANK($C27),ISBLANK($D27),ISBLANK($E$10),ISBLANK($E$11)),"",IFERROR($D27*VLOOKUP((IF(OR($C27="Residential urban land",$C27="Commercial/industrial urban land",$C27="Open urban land",$C27="Greenspace",$C27="Community food growing",$C27="Woodland",$C27="Shrub", $C27="Water"), "|||"&amp;$C27, (VLOOKUP('Stage 2'!$E$9,Lookups!$C$130:$D$130,2,FALSE)&amp;"|"&amp;$C27&amp;"|"&amp;VLOOKUP('Stage 2'!$E$12,Lookups!$C$144:$D$145,2,FALSE)&amp;"|"&amp;VLOOKUP('Stage 2'!$E$11,Lookups!$C$104:$E$126,3,FALSE)&amp;"|"&amp;VLOOKUP($E$10,Lookups!$C$135:$D$140,2,FALSE)))),Lookups!$H$19:$J$100,3,FALSE),
IFERROR(IFERROR($D27*VLOOKUP($C27&amp;"|"&amp;VLOOKUP('Stage 2'!$E$12,Lookups!$C$144:$D$145,2,FALSE)&amp;"|"&amp;VLOOKUP('Stage 2'!$E$11,Lookups!$C$104:$E$126,3,FALSE)&amp;"|"&amp;VLOOKUP($E$10,Lookups!$C$135:$D$140,2,FALSE),Lookups!$H$19:$J$100,3,FALSE),IFERROR($D27*VLOOKUP($C27&amp;"|"&amp;"TRUE"&amp;"|"&amp;VLOOKUP('Stage 2'!$E$11,Lookups!$C$104:$E$126,3,FALSE)&amp;"|"&amp;VLOOKUP($E$10,Lookups!$C$135:$D$140,2,FALSE),Lookups!$H$19:$J$100,3,FALSE),$D27*VLOOKUP($C27&amp;"|"&amp;VLOOKUP('Stage 2'!$E$12,Lookups!$C$144:$D$145,2,FALSE)&amp;"|"&amp;VLOOKUP('Stage 2'!$E$11,Lookups!$C$104:$E$126,3,FALSE)&amp;"|"&amp;"DrainedArGr",Lookups!$H$19:$J$100,3,FALSE))),IFERROR($D27*VLOOKUP($C27&amp;"|"&amp;VLOOKUP('Stage 2'!$E$11,Lookups!$C$104:$E$126,3,FALSE),Lookups!$K$19:$M$92,3,FALSE),$D27*VLOOKUP($C27,Lookups!$D$19:$O$92,12,FALSE)))))</f>
        <v/>
      </c>
      <c r="G27" s="232" t="str">
        <f>IF(
OR(ISBLANK($C27),ISBLANK($D27),ISBLANK($E$10),ISBLANK($E$9),ISBLANK($E$11),$C27="Residential urban land",$C27="Commercial/industrial urban land",$C27="Open urban land",$C27="Greenspace",$C27="Community food growing",$C27="Woodland",$C27="Shrub",$C27="Water"),"",IFERROR($D27*VLOOKUP((IF(
OR($C27="Residential urban land",$C27="Commercial/industrial urban land",$C27="Open urban land",$C27="Greenspace",$C27="Community food growing",$C27="Woodland",$C27="Shrub",$C27="Water"),"|||"&amp;$C27,(VLOOKUP('Stage 2'!$E$9,Lookups!$C$135:$D$140,2,FALSE)&amp;"|"&amp;$C27&amp;"|"&amp;VLOOKUP('Stage 2'!$E$12,Lookups!$C$144:$D$145,2,FALSE)&amp;"|"&amp;VLOOKUP('Stage 2'!$E$11,Lookups!$C$104:$E$126,3,FALSE)&amp;"|"&amp;VLOOKUP($E$10,Lookups!$C$135:$D$140,2,FALSE)))),Lookups!$H$19:$J$100,3,FALSE),
IFERROR($D27*VLOOKUP($C27&amp;"|"&amp;VLOOKUP('Stage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7" s="174"/>
    </row>
    <row r="28" spans="1:11" x14ac:dyDescent="0.25">
      <c r="A28" s="153"/>
      <c r="B28" s="1"/>
      <c r="C28" s="110"/>
      <c r="D28" s="218"/>
      <c r="E28" s="203" t="str">
        <f>IF(OR(ISBLANK($C28),ISBLANK($D28),ISBLANK($E$10),ISBLANK($E$11)),"",IFERROR($D28*VLOOKUP((IF(OR($C28="Residential urban land",$C28="Commercial/industrial urban land",$C28="Open urban land",$C28="Greenspace",$C28="Community food growing",$C28="Woodland",$C28="Shrub", $C28="Water"), "|||"&amp;$C28, (VLOOKUP('Stage 2'!$E$9,Lookups!$C$130:$D$130,2,FALSE)&amp;"|"&amp;$C28&amp;"|"&amp;VLOOKUP('Stage 2'!$E$12,Lookups!$C$144:$D$145,2,FALSE)&amp;"|"&amp;VLOOKUP('Stage 2'!$E$11,Lookups!$C$104:$E$126,3,FALSE)&amp;"|"&amp;VLOOKUP($E$10,Lookups!$C$135:$D$140,2,FALSE)))),Lookups!$H$19:$J$100,2,FALSE),
IFERROR(IFERROR($D28*VLOOKUP($C28&amp;"|"&amp;VLOOKUP('Stage 2'!$E$12,Lookups!$C$144:$D$145,2,FALSE)&amp;"|"&amp;VLOOKUP('Stage 2'!$E$11,Lookups!$C$104:$E$126,3,FALSE)&amp;"|"&amp;VLOOKUP($E$10,Lookups!$C$135:$D$140,2,FALSE),Lookups!$H$19:$J$100,2,FALSE),IFERROR($D28*VLOOKUP($C28&amp;"|"&amp;"TRUE"&amp;"|"&amp;VLOOKUP('Stage 2'!$E$11,Lookups!$C$104:$E$126,3,FALSE)&amp;"|"&amp;VLOOKUP($E$10,Lookups!$C$135:$D$140,2,FALSE),Lookups!$H$19:$J$100,2,FALSE),$D28*VLOOKUP($C28&amp;"|"&amp;VLOOKUP('Stage 2'!$E$12,Lookups!$C$144:$D$145,2,FALSE)&amp;"|"&amp;VLOOKUP('Stage 2'!$E$11,Lookups!$C$104:$E$126,3,FALSE)&amp;"|"&amp;"DrainedArGr",Lookups!$H$19:$J$100,2,FALSE))),IFERROR($D28*VLOOKUP($C28&amp;"|"&amp;VLOOKUP('Stage 2'!$E$11,Lookups!$C$104:$E$126,3,FALSE),Lookups!$K$19:$M$92,2,FALSE),$D28*VLOOKUP($C28,Lookups!$D$19:$O$92,11,FALSE)))))</f>
        <v/>
      </c>
      <c r="F28" s="202" t="str">
        <f>IF(OR(ISBLANK($C28),ISBLANK($D28),ISBLANK($E$10),ISBLANK($E$11)),"",IFERROR($D28*VLOOKUP((IF(OR($C28="Residential urban land",$C28="Commercial/industrial urban land",$C28="Open urban land",$C28="Greenspace",$C28="Community food growing",$C28="Woodland",$C28="Shrub", $C28="Water"), "|||"&amp;$C28, (VLOOKUP('Stage 2'!$E$9,Lookups!$C$130:$D$130,2,FALSE)&amp;"|"&amp;$C28&amp;"|"&amp;VLOOKUP('Stage 2'!$E$12,Lookups!$C$144:$D$145,2,FALSE)&amp;"|"&amp;VLOOKUP('Stage 2'!$E$11,Lookups!$C$104:$E$126,3,FALSE)&amp;"|"&amp;VLOOKUP($E$10,Lookups!$C$135:$D$140,2,FALSE)))),Lookups!$H$19:$J$100,3,FALSE),
IFERROR(IFERROR($D28*VLOOKUP($C28&amp;"|"&amp;VLOOKUP('Stage 2'!$E$12,Lookups!$C$144:$D$145,2,FALSE)&amp;"|"&amp;VLOOKUP('Stage 2'!$E$11,Lookups!$C$104:$E$126,3,FALSE)&amp;"|"&amp;VLOOKUP($E$10,Lookups!$C$135:$D$140,2,FALSE),Lookups!$H$19:$J$100,3,FALSE),IFERROR($D28*VLOOKUP($C28&amp;"|"&amp;"TRUE"&amp;"|"&amp;VLOOKUP('Stage 2'!$E$11,Lookups!$C$104:$E$126,3,FALSE)&amp;"|"&amp;VLOOKUP($E$10,Lookups!$C$135:$D$140,2,FALSE),Lookups!$H$19:$J$100,3,FALSE),$D28*VLOOKUP($C28&amp;"|"&amp;VLOOKUP('Stage 2'!$E$12,Lookups!$C$144:$D$145,2,FALSE)&amp;"|"&amp;VLOOKUP('Stage 2'!$E$11,Lookups!$C$104:$E$126,3,FALSE)&amp;"|"&amp;"DrainedArGr",Lookups!$H$19:$J$100,3,FALSE))),IFERROR($D28*VLOOKUP($C28&amp;"|"&amp;VLOOKUP('Stage 2'!$E$11,Lookups!$C$104:$E$126,3,FALSE),Lookups!$K$19:$M$92,3,FALSE),$D28*VLOOKUP($C28,Lookups!$D$19:$O$92,12,FALSE)))))</f>
        <v/>
      </c>
      <c r="G28" s="232" t="str">
        <f>IF(
OR(ISBLANK($C28),ISBLANK($D28),ISBLANK($E$10),ISBLANK($E$9),ISBLANK($E$11),$C28="Residential urban land",$C28="Commercial/industrial urban land",$C28="Open urban land",$C28="Greenspace",$C28="Community food growing",$C28="Woodland",$C28="Shrub",$C28="Water"),"",IFERROR($D28*VLOOKUP((IF(
OR($C28="Residential urban land",$C28="Commercial/industrial urban land",$C28="Open urban land",$C28="Greenspace",$C28="Community food growing",$C28="Woodland",$C28="Shrub",$C28="Water"),"|||"&amp;$C28,(VLOOKUP('Stage 2'!$E$9,Lookups!$C$135:$D$140,2,FALSE)&amp;"|"&amp;$C28&amp;"|"&amp;VLOOKUP('Stage 2'!$E$12,Lookups!$C$144:$D$145,2,FALSE)&amp;"|"&amp;VLOOKUP('Stage 2'!$E$11,Lookups!$C$104:$E$126,3,FALSE)&amp;"|"&amp;VLOOKUP($E$10,Lookups!$C$135:$D$140,2,FALSE)))),Lookups!$H$19:$J$100,3,FALSE),
IFERROR($D28*VLOOKUP($C28&amp;"|"&amp;VLOOKUP('Stage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8" s="174"/>
      <c r="J28" s="182"/>
    </row>
    <row r="29" spans="1:11" x14ac:dyDescent="0.25">
      <c r="A29" s="153"/>
      <c r="B29" s="1"/>
      <c r="C29" s="110"/>
      <c r="D29" s="218"/>
      <c r="E29" s="203" t="str">
        <f>IF(OR(ISBLANK($C29),ISBLANK($D29),ISBLANK($E$10),ISBLANK($E$11)),"",IFERROR($D29*VLOOKUP((IF(OR($C29="Residential urban land",$C29="Commercial/industrial urban land",$C29="Open urban land",$C29="Greenspace",$C29="Community food growing",$C29="Woodland",$C29="Shrub", $C29="Water"), "|||"&amp;$C29, (VLOOKUP('Stage 2'!$E$9,Lookups!$C$130:$D$130,2,FALSE)&amp;"|"&amp;$C29&amp;"|"&amp;VLOOKUP('Stage 2'!$E$12,Lookups!$C$144:$D$145,2,FALSE)&amp;"|"&amp;VLOOKUP('Stage 2'!$E$11,Lookups!$C$104:$E$126,3,FALSE)&amp;"|"&amp;VLOOKUP($E$10,Lookups!$C$135:$D$140,2,FALSE)))),Lookups!$H$19:$J$100,2,FALSE),
IFERROR(IFERROR($D29*VLOOKUP($C29&amp;"|"&amp;VLOOKUP('Stage 2'!$E$12,Lookups!$C$144:$D$145,2,FALSE)&amp;"|"&amp;VLOOKUP('Stage 2'!$E$11,Lookups!$C$104:$E$126,3,FALSE)&amp;"|"&amp;VLOOKUP($E$10,Lookups!$C$135:$D$140,2,FALSE),Lookups!$H$19:$J$100,2,FALSE),IFERROR($D29*VLOOKUP($C29&amp;"|"&amp;"TRUE"&amp;"|"&amp;VLOOKUP('Stage 2'!$E$11,Lookups!$C$104:$E$126,3,FALSE)&amp;"|"&amp;VLOOKUP($E$10,Lookups!$C$135:$D$140,2,FALSE),Lookups!$H$19:$J$100,2,FALSE),$D29*VLOOKUP($C29&amp;"|"&amp;VLOOKUP('Stage 2'!$E$12,Lookups!$C$144:$D$145,2,FALSE)&amp;"|"&amp;VLOOKUP('Stage 2'!$E$11,Lookups!$C$104:$E$126,3,FALSE)&amp;"|"&amp;"DrainedArGr",Lookups!$H$19:$J$100,2,FALSE))),IFERROR($D29*VLOOKUP($C29&amp;"|"&amp;VLOOKUP('Stage 2'!$E$11,Lookups!$C$104:$E$126,3,FALSE),Lookups!$K$19:$M$92,2,FALSE),$D29*VLOOKUP($C29,Lookups!$D$19:$O$92,11,FALSE)))))</f>
        <v/>
      </c>
      <c r="F29" s="202" t="str">
        <f>IF(OR(ISBLANK($C29),ISBLANK($D29),ISBLANK($E$10),ISBLANK($E$11)),"",IFERROR($D29*VLOOKUP((IF(OR($C29="Residential urban land",$C29="Commercial/industrial urban land",$C29="Open urban land",$C29="Greenspace",$C29="Community food growing",$C29="Woodland",$C29="Shrub", $C29="Water"), "|||"&amp;$C29, (VLOOKUP('Stage 2'!$E$9,Lookups!$C$130:$D$130,2,FALSE)&amp;"|"&amp;$C29&amp;"|"&amp;VLOOKUP('Stage 2'!$E$12,Lookups!$C$144:$D$145,2,FALSE)&amp;"|"&amp;VLOOKUP('Stage 2'!$E$11,Lookups!$C$104:$E$126,3,FALSE)&amp;"|"&amp;VLOOKUP($E$10,Lookups!$C$135:$D$140,2,FALSE)))),Lookups!$H$19:$J$100,3,FALSE),
IFERROR(IFERROR($D29*VLOOKUP($C29&amp;"|"&amp;VLOOKUP('Stage 2'!$E$12,Lookups!$C$144:$D$145,2,FALSE)&amp;"|"&amp;VLOOKUP('Stage 2'!$E$11,Lookups!$C$104:$E$126,3,FALSE)&amp;"|"&amp;VLOOKUP($E$10,Lookups!$C$135:$D$140,2,FALSE),Lookups!$H$19:$J$100,3,FALSE),IFERROR($D29*VLOOKUP($C29&amp;"|"&amp;"TRUE"&amp;"|"&amp;VLOOKUP('Stage 2'!$E$11,Lookups!$C$104:$E$126,3,FALSE)&amp;"|"&amp;VLOOKUP($E$10,Lookups!$C$135:$D$140,2,FALSE),Lookups!$H$19:$J$100,3,FALSE),$D29*VLOOKUP($C29&amp;"|"&amp;VLOOKUP('Stage 2'!$E$12,Lookups!$C$144:$D$145,2,FALSE)&amp;"|"&amp;VLOOKUP('Stage 2'!$E$11,Lookups!$C$104:$E$126,3,FALSE)&amp;"|"&amp;"DrainedArGr",Lookups!$H$19:$J$100,3,FALSE))),IFERROR($D29*VLOOKUP($C29&amp;"|"&amp;VLOOKUP('Stage 2'!$E$11,Lookups!$C$104:$E$126,3,FALSE),Lookups!$K$19:$M$92,3,FALSE),$D29*VLOOKUP($C29,Lookups!$D$19:$O$92,12,FALSE)))))</f>
        <v/>
      </c>
      <c r="G29" s="232" t="str">
        <f>IF(
OR(ISBLANK($C29),ISBLANK($D29),ISBLANK($E$10),ISBLANK($E$9),ISBLANK($E$11),$C29="Residential urban land",$C29="Commercial/industrial urban land",$C29="Open urban land",$C29="Greenspace",$C29="Community food growing",$C29="Woodland",$C29="Shrub",$C29="Water"),"",IFERROR($D29*VLOOKUP((IF(
OR($C29="Residential urban land",$C29="Commercial/industrial urban land",$C29="Open urban land",$C29="Greenspace",$C29="Community food growing",$C29="Woodland",$C29="Shrub",$C29="Water"),"|||"&amp;$C29,(VLOOKUP('Stage 2'!$E$9,Lookups!$C$135:$D$140,2,FALSE)&amp;"|"&amp;$C29&amp;"|"&amp;VLOOKUP('Stage 2'!$E$12,Lookups!$C$144:$D$145,2,FALSE)&amp;"|"&amp;VLOOKUP('Stage 2'!$E$11,Lookups!$C$104:$E$126,3,FALSE)&amp;"|"&amp;VLOOKUP($E$10,Lookups!$C$135:$D$140,2,FALSE)))),Lookups!$H$19:$J$100,3,FALSE),
IFERROR($D29*VLOOKUP($C29&amp;"|"&amp;VLOOKUP('Stage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29" s="174"/>
    </row>
    <row r="30" spans="1:11" x14ac:dyDescent="0.25">
      <c r="A30" s="153"/>
      <c r="B30" s="1"/>
      <c r="C30" s="110"/>
      <c r="D30" s="218"/>
      <c r="E30" s="203" t="str">
        <f>IF(OR(ISBLANK($C30),ISBLANK($D30),ISBLANK($E$10),ISBLANK($E$11)),"",IFERROR($D30*VLOOKUP((IF(OR($C30="Residential urban land",$C30="Commercial/industrial urban land",$C30="Open urban land",$C30="Greenspace",$C30="Community food growing",$C30="Woodland",$C30="Shrub", $C30="Water"), "|||"&amp;$C30, (VLOOKUP('Stage 2'!$E$9,Lookups!$C$130:$D$130,2,FALSE)&amp;"|"&amp;$C30&amp;"|"&amp;VLOOKUP('Stage 2'!$E$12,Lookups!$C$144:$D$145,2,FALSE)&amp;"|"&amp;VLOOKUP('Stage 2'!$E$11,Lookups!$C$104:$E$126,3,FALSE)&amp;"|"&amp;VLOOKUP($E$10,Lookups!$C$135:$D$140,2,FALSE)))),Lookups!$H$19:$J$100,2,FALSE),
IFERROR(IFERROR($D30*VLOOKUP($C30&amp;"|"&amp;VLOOKUP('Stage 2'!$E$12,Lookups!$C$144:$D$145,2,FALSE)&amp;"|"&amp;VLOOKUP('Stage 2'!$E$11,Lookups!$C$104:$E$126,3,FALSE)&amp;"|"&amp;VLOOKUP($E$10,Lookups!$C$135:$D$140,2,FALSE),Lookups!$H$19:$J$100,2,FALSE),IFERROR($D30*VLOOKUP($C30&amp;"|"&amp;"TRUE"&amp;"|"&amp;VLOOKUP('Stage 2'!$E$11,Lookups!$C$104:$E$126,3,FALSE)&amp;"|"&amp;VLOOKUP($E$10,Lookups!$C$135:$D$140,2,FALSE),Lookups!$H$19:$J$100,2,FALSE),$D30*VLOOKUP($C30&amp;"|"&amp;VLOOKUP('Stage 2'!$E$12,Lookups!$C$144:$D$145,2,FALSE)&amp;"|"&amp;VLOOKUP('Stage 2'!$E$11,Lookups!$C$104:$E$126,3,FALSE)&amp;"|"&amp;"DrainedArGr",Lookups!$H$19:$J$100,2,FALSE))),IFERROR($D30*VLOOKUP($C30&amp;"|"&amp;VLOOKUP('Stage 2'!$E$11,Lookups!$C$104:$E$126,3,FALSE),Lookups!$K$19:$M$92,2,FALSE),$D30*VLOOKUP($C30,Lookups!$D$19:$O$92,11,FALSE)))))</f>
        <v/>
      </c>
      <c r="F30" s="202" t="str">
        <f>IF(OR(ISBLANK($C30),ISBLANK($D30),ISBLANK($E$10),ISBLANK($E$11)),"",IFERROR($D30*VLOOKUP((IF(OR($C30="Residential urban land",$C30="Commercial/industrial urban land",$C30="Open urban land",$C30="Greenspace",$C30="Community food growing",$C30="Woodland",$C30="Shrub", $C30="Water"), "|||"&amp;$C30, (VLOOKUP('Stage 2'!$E$9,Lookups!$C$130:$D$130,2,FALSE)&amp;"|"&amp;$C30&amp;"|"&amp;VLOOKUP('Stage 2'!$E$12,Lookups!$C$144:$D$145,2,FALSE)&amp;"|"&amp;VLOOKUP('Stage 2'!$E$11,Lookups!$C$104:$E$126,3,FALSE)&amp;"|"&amp;VLOOKUP($E$10,Lookups!$C$135:$D$140,2,FALSE)))),Lookups!$H$19:$J$100,3,FALSE),
IFERROR(IFERROR($D30*VLOOKUP($C30&amp;"|"&amp;VLOOKUP('Stage 2'!$E$12,Lookups!$C$144:$D$145,2,FALSE)&amp;"|"&amp;VLOOKUP('Stage 2'!$E$11,Lookups!$C$104:$E$126,3,FALSE)&amp;"|"&amp;VLOOKUP($E$10,Lookups!$C$135:$D$140,2,FALSE),Lookups!$H$19:$J$100,3,FALSE),IFERROR($D30*VLOOKUP($C30&amp;"|"&amp;"TRUE"&amp;"|"&amp;VLOOKUP('Stage 2'!$E$11,Lookups!$C$104:$E$126,3,FALSE)&amp;"|"&amp;VLOOKUP($E$10,Lookups!$C$135:$D$140,2,FALSE),Lookups!$H$19:$J$100,3,FALSE),$D30*VLOOKUP($C30&amp;"|"&amp;VLOOKUP('Stage 2'!$E$12,Lookups!$C$144:$D$145,2,FALSE)&amp;"|"&amp;VLOOKUP('Stage 2'!$E$11,Lookups!$C$104:$E$126,3,FALSE)&amp;"|"&amp;"DrainedArGr",Lookups!$H$19:$J$100,3,FALSE))),IFERROR($D30*VLOOKUP($C30&amp;"|"&amp;VLOOKUP('Stage 2'!$E$11,Lookups!$C$104:$E$126,3,FALSE),Lookups!$K$19:$M$92,3,FALSE),$D30*VLOOKUP($C30,Lookups!$D$19:$O$92,12,FALSE)))))</f>
        <v/>
      </c>
      <c r="G30" s="232" t="str">
        <f>IF(
OR(ISBLANK($C30),ISBLANK($D30),ISBLANK($E$10),ISBLANK($E$9),ISBLANK($E$11),$C30="Residential urban land",$C30="Commercial/industrial urban land",$C30="Open urban land",$C30="Greenspace",$C30="Community food growing",$C30="Woodland",$C30="Shrub",$C30="Water"),"",IFERROR($D30*VLOOKUP((IF(
OR($C30="Residential urban land",$C30="Commercial/industrial urban land",$C30="Open urban land",$C30="Greenspace",$C30="Community food growing",$C30="Woodland",$C30="Shrub",$C30="Water"),"|||"&amp;$C30,(VLOOKUP('Stage 2'!$E$9,Lookups!$C$135:$D$140,2,FALSE)&amp;"|"&amp;$C30&amp;"|"&amp;VLOOKUP('Stage 2'!$E$12,Lookups!$C$144:$D$145,2,FALSE)&amp;"|"&amp;VLOOKUP('Stage 2'!$E$11,Lookups!$C$104:$E$126,3,FALSE)&amp;"|"&amp;VLOOKUP($E$10,Lookups!$C$135:$D$140,2,FALSE)))),Lookups!$H$19:$J$100,3,FALSE),
IFERROR($D30*VLOOKUP($C30&amp;"|"&amp;VLOOKUP('Stage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30" s="174"/>
    </row>
    <row r="31" spans="1:11" ht="15.75" thickBot="1" x14ac:dyDescent="0.3">
      <c r="A31" s="153"/>
      <c r="B31" s="1"/>
      <c r="C31" s="110"/>
      <c r="D31" s="111"/>
      <c r="E31" s="204" t="str">
        <f>IF(OR(ISBLANK($C31),ISBLANK($D31),ISBLANK($E$10),ISBLANK($E$11)),"",IFERROR($D31*VLOOKUP((IF(OR($C31="Residential urban land",$C31="Commercial/industrial urban land",$C31="Open urban land",$C31="Greenspace",$C31="Community food growing",$C31="Woodland",$C31="Shrub", $C31="Water"), "|||"&amp;$C31, (VLOOKUP('Stage 2'!$E$9,Lookups!$C$130:$D$130,2,FALSE)&amp;"|"&amp;$C31&amp;"|"&amp;VLOOKUP('Stage 2'!$E$12,Lookups!$C$144:$D$145,2,FALSE)&amp;"|"&amp;VLOOKUP('Stage 2'!$E$11,Lookups!$C$104:$E$126,3,FALSE)&amp;"|"&amp;VLOOKUP($E$10,Lookups!$C$135:$D$140,2,FALSE)))),Lookups!$H$19:$J$100,2,FALSE),
IFERROR(IFERROR($D31*VLOOKUP($C31&amp;"|"&amp;VLOOKUP('Stage 2'!$E$12,Lookups!$C$144:$D$145,2,FALSE)&amp;"|"&amp;VLOOKUP('Stage 2'!$E$11,Lookups!$C$104:$E$126,3,FALSE)&amp;"|"&amp;VLOOKUP($E$10,Lookups!$C$135:$D$140,2,FALSE),Lookups!$H$19:$J$100,2,FALSE),IFERROR($D31*VLOOKUP($C31&amp;"|"&amp;"TRUE"&amp;"|"&amp;VLOOKUP('Stage 2'!$E$11,Lookups!$C$104:$E$126,3,FALSE)&amp;"|"&amp;VLOOKUP($E$10,Lookups!$C$135:$D$140,2,FALSE),Lookups!$H$19:$J$100,2,FALSE),$D31*VLOOKUP($C31&amp;"|"&amp;VLOOKUP('Stage 2'!$E$12,Lookups!$C$144:$D$145,2,FALSE)&amp;"|"&amp;VLOOKUP('Stage 2'!$E$11,Lookups!$C$104:$E$126,3,FALSE)&amp;"|"&amp;"DrainedArGr",Lookups!$H$19:$J$100,2,FALSE))),IFERROR($D31*VLOOKUP($C31&amp;"|"&amp;VLOOKUP('Stage 2'!$E$11,Lookups!$C$104:$E$126,3,FALSE),Lookups!$K$19:$M$92,2,FALSE),$D31*VLOOKUP($C31,Lookups!$D$19:$O$92,11,FALSE)))))</f>
        <v/>
      </c>
      <c r="F31" s="123" t="str">
        <f>IF(OR(ISBLANK($C31),ISBLANK($D31),ISBLANK($E$10),ISBLANK($E$11)),"",IFERROR($D31*VLOOKUP((IF(OR($C31="Residential urban land",$C31="Commercial/industrial urban land",$C31="Open urban land",$C31="Greenspace",$C31="Community food growing",$C31="Woodland",$C31="Shrub", $C31="Water"), "|||"&amp;$C31, (VLOOKUP('Stage 2'!$E$9,Lookups!$C$130:$D$130,2,FALSE)&amp;"|"&amp;$C31&amp;"|"&amp;VLOOKUP('Stage 2'!$E$12,Lookups!$C$144:$D$145,2,FALSE)&amp;"|"&amp;VLOOKUP('Stage 2'!$E$11,Lookups!$C$104:$E$126,3,FALSE)&amp;"|"&amp;VLOOKUP($E$10,Lookups!$C$135:$D$140,2,FALSE)))),Lookups!$H$19:$J$100,3,FALSE),
IFERROR(IFERROR($D31*VLOOKUP($C31&amp;"|"&amp;VLOOKUP('Stage 2'!$E$12,Lookups!$C$144:$D$145,2,FALSE)&amp;"|"&amp;VLOOKUP('Stage 2'!$E$11,Lookups!$C$104:$E$126,3,FALSE)&amp;"|"&amp;VLOOKUP($E$10,Lookups!$C$135:$D$140,2,FALSE),Lookups!$H$19:$J$100,3,FALSE),IFERROR($D31*VLOOKUP($C31&amp;"|"&amp;"TRUE"&amp;"|"&amp;VLOOKUP('Stage 2'!$E$11,Lookups!$C$104:$E$126,3,FALSE)&amp;"|"&amp;VLOOKUP($E$10,Lookups!$C$135:$D$140,2,FALSE),Lookups!$H$19:$J$100,3,FALSE),$D31*VLOOKUP($C31&amp;"|"&amp;VLOOKUP('Stage 2'!$E$12,Lookups!$C$144:$D$145,2,FALSE)&amp;"|"&amp;VLOOKUP('Stage 2'!$E$11,Lookups!$C$104:$E$126,3,FALSE)&amp;"|"&amp;"DrainedArGr",Lookups!$H$19:$J$100,3,FALSE))),IFERROR($D31*VLOOKUP($C31&amp;"|"&amp;VLOOKUP('Stage 2'!$E$11,Lookups!$C$104:$E$126,3,FALSE),Lookups!$K$19:$M$92,3,FALSE),$D31*VLOOKUP($C31,Lookups!$D$19:$O$92,12,FALSE)))))</f>
        <v/>
      </c>
      <c r="G31" s="232" t="str">
        <f>IF(
OR(ISBLANK($C31),ISBLANK($D31),ISBLANK($E$10),ISBLANK($E$9),ISBLANK($E$11),$C31="Residential urban land",$C31="Commercial/industrial urban land",$C31="Open urban land",$C31="Greenspace",$C31="Community food growing",$C31="Woodland",$C31="Shrub",$C31="Water"),"",IFERROR($D31*VLOOKUP((IF(
OR($C31="Residential urban land",$C31="Commercial/industrial urban land",$C31="Open urban land",$C31="Greenspace",$C31="Community food growing",$C31="Woodland",$C31="Shrub",$C31="Water"),"|||"&amp;$C31,(VLOOKUP('Stage 2'!$E$9,Lookups!$C$135:$D$140,2,FALSE)&amp;"|"&amp;$C31&amp;"|"&amp;VLOOKUP('Stage 2'!$E$12,Lookups!$C$144:$D$145,2,FALSE)&amp;"|"&amp;VLOOKUP('Stage 2'!$E$11,Lookups!$C$104:$E$126,3,FALSE)&amp;"|"&amp;VLOOKUP($E$10,Lookups!$C$135:$D$140,2,FALSE)))),Lookups!$H$19:$J$100,3,FALSE),
IFERROR($D31*VLOOKUP($C31&amp;"|"&amp;VLOOKUP('Stage 2'!$E$12,Lookups!$C$144:$D$145,2,FALSE)&amp;"|"&amp;VLOOKUP('Stage 2'!$E$11,Lookups!$C$104:$E$126,3,FALSE)&amp;"|"&amp;VLOOKUP($E$10,Lookups!$C$135:$D$140,2,FALSE),Lookups!$H$43:$J$92,3,FALSE),"In the absence of real world data, this figure has been generated using the most relevant average nutrient reduction coefficient.")))</f>
        <v/>
      </c>
      <c r="H31" s="174"/>
    </row>
    <row r="32" spans="1:11" x14ac:dyDescent="0.25">
      <c r="A32" s="153"/>
      <c r="B32" s="1"/>
      <c r="C32" s="75" t="s">
        <v>118</v>
      </c>
      <c r="D32" s="102">
        <f>SUM(D15:D31)</f>
        <v>0</v>
      </c>
      <c r="E32" s="103">
        <f>SUM(E15:E31)</f>
        <v>0</v>
      </c>
      <c r="F32" s="201">
        <f>SUM(F15:F31)</f>
        <v>0</v>
      </c>
      <c r="G32" s="1"/>
      <c r="H32" s="124"/>
    </row>
    <row r="33" spans="1:8" ht="15.75" thickBot="1" x14ac:dyDescent="0.3">
      <c r="A33" s="153"/>
      <c r="B33" s="167"/>
      <c r="C33" s="149"/>
      <c r="D33" s="149"/>
      <c r="E33" s="149"/>
      <c r="F33" s="149"/>
      <c r="G33" s="149"/>
      <c r="H33" s="150"/>
    </row>
    <row r="34" spans="1:8" ht="15.75" thickTop="1" x14ac:dyDescent="0.25"/>
  </sheetData>
  <sheetProtection algorithmName="SHA-512" hashValue="d0F6Aj8f2KuyoXaBTRM2f/1ozyYxWcyAD+BCiu3eSu/JSgBZL3YcBukcLI4CHxUin3kYERchBZivOu218cBISA==" saltValue="ZxQURSe6Pam7n1G6MKNukg==" spinCount="100000" sheet="1" selectLockedCells="1"/>
  <protectedRanges>
    <protectedRange algorithmName="SHA-512" hashValue="6MaqfLmjxE2CMsYMEtptASTKbC7XykMYNd+AlVy+V2v/64BykwcwkRmAkImBIYM0n+Am+TaTWEeHGgFZHNJWgA==" saltValue="1lVOneDC33VcvqS0774YtQ==" spinCount="100000" sqref="E9:E12 C15:D31" name="Range1"/>
  </protectedRanges>
  <mergeCells count="6">
    <mergeCell ref="C12:D12"/>
    <mergeCell ref="C9:D9"/>
    <mergeCell ref="C10:D10"/>
    <mergeCell ref="C11:D11"/>
    <mergeCell ref="B3:G5"/>
    <mergeCell ref="C7:F7"/>
  </mergeCells>
  <conditionalFormatting sqref="G15:G31">
    <cfRule type="expression" dxfId="2" priority="1">
      <formula>($G15="In the absence of real world data, this figure has been generated using the most relevant average nutrient reduction coefficient.")</formula>
    </cfRule>
  </conditionalFormatting>
  <dataValidations xWindow="173" yWindow="764" count="1">
    <dataValidation allowBlank="1" showInputMessage="1" showErrorMessage="1" prompt="Please enter area in hectares." sqref="D15:D31" xr:uid="{7A3F0B97-DB05-43E3-94F5-093694D5E34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73" yWindow="764" count="5">
        <x14:dataValidation type="list" operator="greaterThan" allowBlank="1" showInputMessage="1" showErrorMessage="1" errorTitle="Catchment Error" error="Please enter your catchment." prompt="Please enter the Operational Catchment that the development site is within. If unsure Please see the instructions page (Section 3.1) for guidance on how to determine this." xr:uid="{B2B19558-C6B4-46F2-B681-B62D4CF291FE}">
          <x14:formula1>
            <xm:f>Lookups!$D$130</xm:f>
          </x14:formula1>
          <xm:sqref>E9</xm:sqref>
        </x14:dataValidation>
        <x14:dataValidation type="list" allowBlank="1" showInputMessage="1" showErrorMessage="1" errorTitle="Rainfall" error="Rainfall must be entered from the drop down list." prompt="Please enter the annual average rainfall for the development site. If unsure please see the instructions page (Section 3.3) for guidance on how to determine this. If the rainfall volume is not on the list, please select the nearest value." xr:uid="{506A711F-D616-42C7-91D7-47C349233471}">
          <x14:formula1>
            <xm:f>Lookups!$C$112:$C$119</xm:f>
          </x14:formula1>
          <xm:sqref>E11</xm:sqref>
        </x14:dataValidation>
        <x14:dataValidation type="list" showInputMessage="1" showErrorMessage="1" errorTitle="NVZ" error="Please select whether development area is within an NVZ." prompt="Please select whether the development area is within an NVZ. If unsure please see the instructions page (Section 3.4) for guidance on how to determine this. " xr:uid="{9F25A89B-2F33-4BD1-97BD-EA33B22A96BB}">
          <x14:formula1>
            <xm:f>Lookups!$C$144:$C$145</xm:f>
          </x14:formula1>
          <xm:sqref>E12</xm:sqref>
        </x14:dataValidation>
        <x14:dataValidation type="list" operator="greaterThan" allowBlank="1" showInputMessage="1" showErrorMessage="1" errorTitle="Soil drainage type" error="Pleas enter the soil drainage type for the development site." prompt="Please enter the soil drainage type for the development site. If unsure please see the instructions page (Section 3.2) for guidance on how to determine this." xr:uid="{30EB6C55-0D33-4679-BDCD-D3A716B82E75}">
          <x14:formula1>
            <xm:f>Lookups!$C$135:$C$140</xm:f>
          </x14:formula1>
          <xm:sqref>E10</xm:sqref>
        </x14:dataValidation>
        <x14:dataValidation type="list" allowBlank="1" showInputMessage="1" showErrorMessage="1" errorTitle="Landcover" error="Please select all pre exisitng landcover types." prompt="Select exisiting (pre-development) land use types from the drop down list." xr:uid="{992ADEAC-2247-4596-A0CE-29D439F892B1}">
          <x14:formula1>
            <xm:f>Lookups!$I$130:$I$145</xm:f>
          </x14:formula1>
          <xm:sqref>C15:C31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F1268-2FDD-4208-B879-2DF0627A5BBD}">
  <dimension ref="A3:I29"/>
  <sheetViews>
    <sheetView showRowColHeaders="0" topLeftCell="A8" zoomScaleNormal="100" workbookViewId="0">
      <selection activeCell="C11" sqref="C11"/>
    </sheetView>
  </sheetViews>
  <sheetFormatPr defaultColWidth="9.140625" defaultRowHeight="15" x14ac:dyDescent="0.25"/>
  <cols>
    <col min="1" max="1" width="9.140625" style="152"/>
    <col min="2" max="2" width="4.7109375" style="152" customWidth="1"/>
    <col min="3" max="3" width="32" style="152" customWidth="1"/>
    <col min="4" max="4" width="12.42578125" style="152" customWidth="1"/>
    <col min="5" max="5" width="19.5703125" style="152" customWidth="1"/>
    <col min="6" max="6" width="18.85546875" style="152" customWidth="1"/>
    <col min="7" max="7" width="4.5703125" style="152" customWidth="1"/>
    <col min="8" max="16384" width="9.140625" style="152"/>
  </cols>
  <sheetData>
    <row r="3" spans="1:9" x14ac:dyDescent="0.25">
      <c r="A3" s="153"/>
      <c r="B3" s="268" t="s">
        <v>119</v>
      </c>
      <c r="C3" s="269"/>
      <c r="D3" s="269"/>
      <c r="E3" s="269"/>
      <c r="F3" s="269"/>
      <c r="G3" s="270"/>
    </row>
    <row r="4" spans="1:9" x14ac:dyDescent="0.25">
      <c r="A4" s="153"/>
      <c r="B4" s="268"/>
      <c r="C4" s="269"/>
      <c r="D4" s="269"/>
      <c r="E4" s="269"/>
      <c r="F4" s="269"/>
      <c r="G4" s="270"/>
    </row>
    <row r="5" spans="1:9" x14ac:dyDescent="0.25">
      <c r="A5" s="153"/>
      <c r="B5" s="268"/>
      <c r="C5" s="269"/>
      <c r="D5" s="269"/>
      <c r="E5" s="269"/>
      <c r="F5" s="269"/>
      <c r="G5" s="270"/>
    </row>
    <row r="6" spans="1:9" ht="17.25" x14ac:dyDescent="0.25">
      <c r="A6" s="153"/>
      <c r="B6" s="1"/>
      <c r="C6" s="1"/>
      <c r="D6" s="1"/>
      <c r="E6" s="1"/>
      <c r="F6" s="1"/>
      <c r="G6" s="165"/>
    </row>
    <row r="7" spans="1:9" ht="18" customHeight="1" x14ac:dyDescent="0.25">
      <c r="A7" s="153"/>
      <c r="B7" s="1"/>
      <c r="C7" s="273" t="s">
        <v>77</v>
      </c>
      <c r="D7" s="273"/>
      <c r="E7" s="273"/>
      <c r="F7" s="273"/>
      <c r="G7" s="164"/>
    </row>
    <row r="8" spans="1:9" x14ac:dyDescent="0.25">
      <c r="A8" s="153"/>
      <c r="B8" s="1"/>
      <c r="C8" s="1"/>
      <c r="D8" s="1"/>
      <c r="E8" s="1"/>
      <c r="F8" s="1"/>
      <c r="G8" s="124"/>
    </row>
    <row r="9" spans="1:9" ht="68.25" customHeight="1" thickBot="1" x14ac:dyDescent="0.3">
      <c r="A9" s="153"/>
      <c r="B9" s="1"/>
      <c r="C9" s="76" t="s">
        <v>120</v>
      </c>
      <c r="D9" s="76" t="s">
        <v>114</v>
      </c>
      <c r="E9" s="73" t="s">
        <v>115</v>
      </c>
      <c r="F9" s="74" t="s">
        <v>121</v>
      </c>
      <c r="G9" s="124"/>
    </row>
    <row r="10" spans="1:9" x14ac:dyDescent="0.25">
      <c r="A10" s="153"/>
      <c r="B10" s="1"/>
      <c r="C10" s="110"/>
      <c r="D10" s="118"/>
      <c r="E10" s="78" t="str">
        <f>IF(OR(ISBLANK(C10),ISBLANK(D10)),"",D10*VLOOKUP((IF(OR(C10="Residential urban land",C10="Commercial/industrial urban land",C10="Open urban land",C10="Greenspace",C10="Community food growing",C10="Woodland",C10="Shrub", C10="Water"), "|||"&amp;C10, (VLOOKUP('Stage 2'!$E$9,Lookups!$C$130:$D$130,2,FALSE)&amp;"|"&amp;C10&amp;"|"&amp;VLOOKUP('Stage 2'!$E$12,Lookups!$C$144:$D$145,2,FALSE)&amp;"|"&amp;VLOOKUP('Stage 2'!$E$11,Lookups!$C$104:$E$126,3,FALSE)&amp;"|"&amp;VLOOKUP('Stage 2'!$E$10,Lookups!$C$135:$D$140,2,FALSE)))),Lookups!$H$19:$J$100,2,FALSE))</f>
        <v/>
      </c>
      <c r="F10" s="77" t="str">
        <f>IF(OR(ISBLANK(C10),ISBLANK(D10)),"",D10*VLOOKUP((IF(OR(C10="Residential urban land",C10="Commercial/industrial urban land",C10="Open urban land",C10="Greenspace",C10="Community food growing",C10="Woodland",C10="Shrub", C10="Water"), "|||"&amp;C10, (VLOOKUP('Stage 2'!$E$9,Lookups!$C$130:$D$130,2,FALSE)&amp;"|"&amp;C10&amp;"|"&amp;VLOOKUP('Stage 2'!$E$12,Lookups!$C$144:$D$145,2,FALSE)&amp;"|"&amp;VLOOKUP('Stage 2'!$E$11,Lookups!$C$104:$E$126,3,FALSE)&amp;"|"&amp;VLOOKUP('Stage 2'!$E$10,Lookups!$C$135:$D$140,2,FALSE)))),Lookups!$H$19:$J$100,3,FALSE))</f>
        <v/>
      </c>
      <c r="G10" s="124"/>
    </row>
    <row r="11" spans="1:9" x14ac:dyDescent="0.25">
      <c r="A11" s="153"/>
      <c r="B11" s="1"/>
      <c r="C11" s="110" t="s">
        <v>122</v>
      </c>
      <c r="D11" s="118"/>
      <c r="E11" s="78" t="str">
        <f>IF(OR(ISBLANK(C11),ISBLANK(D11)),"",D11*VLOOKUP((IF(OR(C11="Residential urban land",C11="Commercial/industrial urban land",C11="Open urban land",C11="Greenspace",C11="Community food growing",C11="Woodland",C11="Shrub", C11="Water"), "|||"&amp;C11, (VLOOKUP('Stage 2'!$E$9,Lookups!$C$130:$D$130,2,FALSE)&amp;"|"&amp;C11&amp;"|"&amp;VLOOKUP('Stage 2'!$E$12,Lookups!$C$144:$D$145,2,FALSE)&amp;"|"&amp;VLOOKUP('Stage 2'!$E$11,Lookups!$C$104:$E$126,3,FALSE)&amp;"|"&amp;VLOOKUP('Stage 2'!$E$10,Lookups!$C$135:$D$140,2,FALSE)))),Lookups!$H$19:$J$100,2,FALSE))</f>
        <v/>
      </c>
      <c r="F11" s="77" t="str">
        <f>IF(OR(ISBLANK(C11),ISBLANK(D11)),"",D11*VLOOKUP((IF(OR(C11="Residential urban land",C11="Commercial/industrial urban land",C11="Open urban land",C11="Greenspace",C11="Community food growing",C11="Woodland",C11="Shrub", C11="Water"), "|||"&amp;C11, (VLOOKUP('Stage 2'!$E$9,Lookups!$C$130:$D$130,2,FALSE)&amp;"|"&amp;C11&amp;"|"&amp;VLOOKUP('Stage 2'!$E$12,Lookups!$C$144:$D$145,2,FALSE)&amp;"|"&amp;VLOOKUP('Stage 2'!$E$11,Lookups!$C$104:$E$126,3,FALSE)&amp;"|"&amp;VLOOKUP('Stage 2'!$E$10,Lookups!$C$135:$D$140,2,FALSE)))),Lookups!$H$19:$J$100,3,FALSE))</f>
        <v/>
      </c>
      <c r="G11" s="124"/>
    </row>
    <row r="12" spans="1:9" x14ac:dyDescent="0.25">
      <c r="A12" s="153"/>
      <c r="B12" s="1"/>
      <c r="C12" s="110"/>
      <c r="D12" s="118"/>
      <c r="E12" s="78" t="str">
        <f>IF(OR(ISBLANK(C12),ISBLANK(D12)),"",D12*VLOOKUP((IF(OR(C12="Residential urban land",C12="Commercial/industrial urban land",C12="Open urban land",C12="Greenspace",C12="Community food growing",C12="Woodland",C12="Shrub", C12="Water"), "|||"&amp;C12, (VLOOKUP('Stage 2'!$E$9,Lookups!$C$130:$D$130,2,FALSE)&amp;"|"&amp;C12&amp;"|"&amp;VLOOKUP('Stage 2'!$E$12,Lookups!$C$144:$D$145,2,FALSE)&amp;"|"&amp;VLOOKUP('Stage 2'!$E$11,Lookups!$C$104:$E$126,3,FALSE)&amp;"|"&amp;VLOOKUP('Stage 2'!$E$10,Lookups!$C$135:$D$140,2,FALSE)))),Lookups!$H$19:$J$100,2,FALSE))</f>
        <v/>
      </c>
      <c r="F12" s="77" t="str">
        <f>IF(OR(ISBLANK(C12),ISBLANK(D12)),"",D12*VLOOKUP((IF(OR(C12="Residential urban land",C12="Commercial/industrial urban land",C12="Open urban land",C12="Greenspace",C12="Community food growing",C12="Woodland",C12="Shrub", C12="Water"), "|||"&amp;C12, (VLOOKUP('Stage 2'!$E$9,Lookups!$C$130:$D$130,2,FALSE)&amp;"|"&amp;C12&amp;"|"&amp;VLOOKUP('Stage 2'!$E$12,Lookups!$C$144:$D$145,2,FALSE)&amp;"|"&amp;VLOOKUP('Stage 2'!$E$11,Lookups!$C$104:$E$126,3,FALSE)&amp;"|"&amp;VLOOKUP('Stage 2'!$E$10,Lookups!$C$135:$D$140,2,FALSE)))),Lookups!$H$19:$J$100,3,FALSE))</f>
        <v/>
      </c>
      <c r="G12" s="124"/>
    </row>
    <row r="13" spans="1:9" x14ac:dyDescent="0.25">
      <c r="A13" s="153"/>
      <c r="B13" s="1"/>
      <c r="C13" s="110"/>
      <c r="D13" s="118"/>
      <c r="E13" s="78" t="str">
        <f>IF(OR(ISBLANK(C13),ISBLANK(D13)),"",D13*VLOOKUP((IF(OR(C13="Residential urban land",C13="Commercial/industrial urban land",C13="Open urban land",C13="Greenspace",C13="Community food growing",C13="Woodland",C13="Shrub", C13="Water"), "|||"&amp;C13, (VLOOKUP('Stage 2'!$E$9,Lookups!$C$130:$D$130,2,FALSE)&amp;"|"&amp;C13&amp;"|"&amp;VLOOKUP('Stage 2'!$E$12,Lookups!$C$144:$D$145,2,FALSE)&amp;"|"&amp;VLOOKUP('Stage 2'!$E$11,Lookups!$C$104:$E$126,3,FALSE)&amp;"|"&amp;VLOOKUP('Stage 2'!$E$10,Lookups!$C$135:$D$140,2,FALSE)))),Lookups!$H$19:$J$100,2,FALSE))</f>
        <v/>
      </c>
      <c r="F13" s="77" t="str">
        <f>IF(OR(ISBLANK(C13),ISBLANK(D13)),"",D13*VLOOKUP((IF(OR(C13="Residential urban land",C13="Commercial/industrial urban land",C13="Open urban land",C13="Greenspace",C13="Community food growing",C13="Woodland",C13="Shrub", C13="Water"), "|||"&amp;C13, (VLOOKUP('Stage 2'!$E$9,Lookups!$C$130:$D$130,2,FALSE)&amp;"|"&amp;C13&amp;"|"&amp;VLOOKUP('Stage 2'!$E$12,Lookups!$C$144:$D$145,2,FALSE)&amp;"|"&amp;VLOOKUP('Stage 2'!$E$11,Lookups!$C$104:$E$126,3,FALSE)&amp;"|"&amp;VLOOKUP('Stage 2'!$E$10,Lookups!$C$135:$D$140,2,FALSE)))),Lookups!$H$19:$J$100,3,FALSE))</f>
        <v/>
      </c>
      <c r="G13" s="124"/>
    </row>
    <row r="14" spans="1:9" x14ac:dyDescent="0.25">
      <c r="A14" s="153"/>
      <c r="B14" s="1"/>
      <c r="C14" s="110"/>
      <c r="D14" s="118"/>
      <c r="E14" s="78" t="str">
        <f>IF(OR(ISBLANK(C14),ISBLANK(D14)),"",D14*VLOOKUP((IF(OR(C14="Residential urban land",C14="Commercial/industrial urban land",C14="Open urban land",C14="Greenspace",C14="Community food growing",C14="Woodland",C14="Shrub", C14="Water"), "|||"&amp;C14, (VLOOKUP('Stage 2'!$E$9,Lookups!$C$130:$D$130,2,FALSE)&amp;"|"&amp;C14&amp;"|"&amp;VLOOKUP('Stage 2'!$E$12,Lookups!$C$144:$D$145,2,FALSE)&amp;"|"&amp;VLOOKUP('Stage 2'!$E$11,Lookups!$C$104:$E$126,3,FALSE)&amp;"|"&amp;VLOOKUP('Stage 2'!$E$10,Lookups!$C$135:$D$140,2,FALSE)))),Lookups!$H$19:$J$100,2,FALSE))</f>
        <v/>
      </c>
      <c r="F14" s="77" t="str">
        <f>IF(OR(ISBLANK(C14),ISBLANK(D14)),"",D14*VLOOKUP((IF(OR(C14="Residential urban land",C14="Commercial/industrial urban land",C14="Open urban land",C14="Greenspace",C14="Community food growing",C14="Woodland",C14="Shrub", C14="Water"), "|||"&amp;C14, (VLOOKUP('Stage 2'!$E$9,Lookups!$C$130:$D$130,2,FALSE)&amp;"|"&amp;C14&amp;"|"&amp;VLOOKUP('Stage 2'!$E$12,Lookups!$C$144:$D$145,2,FALSE)&amp;"|"&amp;VLOOKUP('Stage 2'!$E$11,Lookups!$C$104:$E$126,3,FALSE)&amp;"|"&amp;VLOOKUP('Stage 2'!$E$10,Lookups!$C$135:$D$140,2,FALSE)))),Lookups!$H$19:$J$100,3,FALSE))</f>
        <v/>
      </c>
      <c r="G14" s="124"/>
    </row>
    <row r="15" spans="1:9" x14ac:dyDescent="0.25">
      <c r="A15" s="153"/>
      <c r="B15" s="1"/>
      <c r="C15" s="110"/>
      <c r="D15" s="118"/>
      <c r="E15" s="78" t="str">
        <f>IF(OR(ISBLANK(C15),ISBLANK(D15)),"",D15*VLOOKUP((IF(OR(C15="Residential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2'!$E$11,Lookups!$C$104:$E$126,3,FALSE)&amp;"|"&amp;VLOOKUP('Stage 2'!$E$10,Lookups!$C$135:$D$140,2,FALSE)))),Lookups!$H$19:$J$100,2,FALSE))</f>
        <v/>
      </c>
      <c r="F15" s="77" t="str">
        <f>IF(OR(ISBLANK(C15),ISBLANK(D15)),"",D15*VLOOKUP((IF(OR(C15="Residential urban land",C15="Commercial/industrial urban land",C15="Open urban land",C15="Greenspace",C15="Community food growing",C15="Woodland",C15="Shrub", C15="Water"), "|||"&amp;C15, (VLOOKUP('Stage 2'!$E$9,Lookups!$C$130:$D$130,2,FALSE)&amp;"|"&amp;C15&amp;"|"&amp;VLOOKUP('Stage 2'!$E$12,Lookups!$C$144:$D$145,2,FALSE)&amp;"|"&amp;VLOOKUP('Stage 2'!$E$11,Lookups!$C$104:$E$126,3,FALSE)&amp;"|"&amp;VLOOKUP('Stage 2'!$E$10,Lookups!$C$135:$D$140,2,FALSE)))),Lookups!$H$19:$J$100,3,FALSE))</f>
        <v/>
      </c>
      <c r="G15" s="124"/>
      <c r="I15" s="182"/>
    </row>
    <row r="16" spans="1:9" x14ac:dyDescent="0.25">
      <c r="A16" s="153"/>
      <c r="B16" s="1"/>
      <c r="C16" s="110"/>
      <c r="D16" s="118"/>
      <c r="E16" s="78" t="str">
        <f>IF(OR(ISBLANK(C16),ISBLANK(D16)),"",D16*VLOOKUP((IF(OR(C16="Residential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2'!$E$11,Lookups!$C$104:$E$126,3,FALSE)&amp;"|"&amp;VLOOKUP('Stage 2'!$E$10,Lookups!$C$135:$D$140,2,FALSE)))),Lookups!$H$19:$J$100,2,FALSE))</f>
        <v/>
      </c>
      <c r="F16" s="77" t="str">
        <f>IF(OR(ISBLANK(C16),ISBLANK(D16)),"",D16*VLOOKUP((IF(OR(C16="Residential urban land",C16="Commercial/industrial urban land",C16="Open urban land",C16="Greenspace",C16="Community food growing",C16="Woodland",C16="Shrub", C16="Water"), "|||"&amp;C16, (VLOOKUP('Stage 2'!$E$9,Lookups!$C$130:$D$130,2,FALSE)&amp;"|"&amp;C16&amp;"|"&amp;VLOOKUP('Stage 2'!$E$12,Lookups!$C$144:$D$145,2,FALSE)&amp;"|"&amp;VLOOKUP('Stage 2'!$E$11,Lookups!$C$104:$E$126,3,FALSE)&amp;"|"&amp;VLOOKUP('Stage 2'!$E$10,Lookups!$C$135:$D$140,2,FALSE)))),Lookups!$H$19:$J$100,3,FALSE))</f>
        <v/>
      </c>
      <c r="G16" s="124"/>
    </row>
    <row r="17" spans="1:7" x14ac:dyDescent="0.25">
      <c r="A17" s="153"/>
      <c r="B17" s="1"/>
      <c r="C17" s="110"/>
      <c r="D17" s="118"/>
      <c r="E17" s="78" t="str">
        <f>IF(OR(ISBLANK(C17),ISBLANK(D17)),"",D17*VLOOKUP((IF(OR(C17="Residential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2'!$E$11,Lookups!$C$104:$E$126,3,FALSE)&amp;"|"&amp;VLOOKUP('Stage 2'!$E$10,Lookups!$C$135:$D$140,2,FALSE)))),Lookups!$H$19:$J$100,2,FALSE))</f>
        <v/>
      </c>
      <c r="F17" s="77" t="str">
        <f>IF(OR(ISBLANK(C17),ISBLANK(D17)),"",D17*VLOOKUP((IF(OR(C17="Residential urban land",C17="Commercial/industrial urban land",C17="Open urban land",C17="Greenspace",C17="Community food growing",C17="Woodland",C17="Shrub", C17="Water"), "|||"&amp;C17, (VLOOKUP('Stage 2'!$E$9,Lookups!$C$130:$D$130,2,FALSE)&amp;"|"&amp;C17&amp;"|"&amp;VLOOKUP('Stage 2'!$E$12,Lookups!$C$144:$D$145,2,FALSE)&amp;"|"&amp;VLOOKUP('Stage 2'!$E$11,Lookups!$C$104:$E$126,3,FALSE)&amp;"|"&amp;VLOOKUP('Stage 2'!$E$10,Lookups!$C$135:$D$140,2,FALSE)))),Lookups!$H$19:$J$100,3,FALSE))</f>
        <v/>
      </c>
      <c r="G17" s="124"/>
    </row>
    <row r="18" spans="1:7" x14ac:dyDescent="0.25">
      <c r="A18" s="153"/>
      <c r="B18" s="1"/>
      <c r="C18" s="110"/>
      <c r="D18" s="119"/>
      <c r="E18" s="78" t="str">
        <f>IF(OR(ISBLANK(C18),ISBLANK(D18)),"",D18*VLOOKUP((IF(OR(C18="Residential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2'!$E$11,Lookups!$C$104:$E$126,3,FALSE)&amp;"|"&amp;VLOOKUP('Stage 2'!$E$10,Lookups!$C$135:$D$140,2,FALSE)))),Lookups!$H$19:$J$100,2,FALSE))</f>
        <v/>
      </c>
      <c r="F18" s="77" t="str">
        <f>IF(OR(ISBLANK(C18),ISBLANK(D18)),"",D18*VLOOKUP((IF(OR(C18="Residential urban land",C18="Commercial/industrial urban land",C18="Open urban land",C18="Greenspace",C18="Community food growing",C18="Woodland",C18="Shrub", C18="Water"), "|||"&amp;C18, (VLOOKUP('Stage 2'!$E$9,Lookups!$C$130:$D$130,2,FALSE)&amp;"|"&amp;C18&amp;"|"&amp;VLOOKUP('Stage 2'!$E$12,Lookups!$C$144:$D$145,2,FALSE)&amp;"|"&amp;VLOOKUP('Stage 2'!$E$11,Lookups!$C$104:$E$126,3,FALSE)&amp;"|"&amp;VLOOKUP('Stage 2'!$E$10,Lookups!$C$135:$D$140,2,FALSE)))),Lookups!$H$19:$J$100,3,FALSE))</f>
        <v/>
      </c>
      <c r="G18" s="124"/>
    </row>
    <row r="19" spans="1:7" x14ac:dyDescent="0.25">
      <c r="A19" s="153"/>
      <c r="B19" s="1"/>
      <c r="C19" s="110"/>
      <c r="D19" s="119"/>
      <c r="E19" s="78" t="str">
        <f>IF(OR(ISBLANK(C19),ISBLANK(D19)),"",D19*VLOOKUP((IF(OR(C19="Residential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2'!$E$11,Lookups!$C$104:$E$126,3,FALSE)&amp;"|"&amp;VLOOKUP('Stage 2'!$E$10,Lookups!$C$135:$D$140,2,FALSE)))),Lookups!$H$19:$J$100,2,FALSE))</f>
        <v/>
      </c>
      <c r="F19" s="77" t="str">
        <f>IF(OR(ISBLANK(C19),ISBLANK(D19)),"",D19*VLOOKUP((IF(OR(C19="Residential urban land",C19="Commercial/industrial urban land",C19="Open urban land",C19="Greenspace",C19="Community food growing",C19="Woodland",C19="Shrub", C19="Water"), "|||"&amp;C19, (VLOOKUP('Stage 2'!$E$9,Lookups!$C$130:$D$130,2,FALSE)&amp;"|"&amp;C19&amp;"|"&amp;VLOOKUP('Stage 2'!$E$12,Lookups!$C$144:$D$145,2,FALSE)&amp;"|"&amp;VLOOKUP('Stage 2'!$E$11,Lookups!$C$104:$E$126,3,FALSE)&amp;"|"&amp;VLOOKUP('Stage 2'!$E$10,Lookups!$C$135:$D$140,2,FALSE)))),Lookups!$H$19:$J$100,3,FALSE))</f>
        <v/>
      </c>
      <c r="G19" s="124"/>
    </row>
    <row r="20" spans="1:7" x14ac:dyDescent="0.25">
      <c r="A20" s="153"/>
      <c r="B20" s="1"/>
      <c r="C20" s="110"/>
      <c r="D20" s="119"/>
      <c r="E20" s="78" t="str">
        <f>IF(OR(ISBLANK(C20),ISBLANK(D20)),"",D20*VLOOKUP((IF(OR(C20="Residential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2'!$E$11,Lookups!$C$104:$E$126,3,FALSE)&amp;"|"&amp;VLOOKUP('Stage 2'!$E$10,Lookups!$C$135:$D$140,2,FALSE)))),Lookups!$H$19:$J$100,2,FALSE))</f>
        <v/>
      </c>
      <c r="F20" s="77" t="str">
        <f>IF(OR(ISBLANK(C20),ISBLANK(D20)),"",D20*VLOOKUP((IF(OR(C20="Residential urban land",C20="Commercial/industrial urban land",C20="Open urban land",C20="Greenspace",C20="Community food growing",C20="Woodland",C20="Shrub", C20="Water"), "|||"&amp;C20, (VLOOKUP('Stage 2'!$E$9,Lookups!$C$130:$D$130,2,FALSE)&amp;"|"&amp;C20&amp;"|"&amp;VLOOKUP('Stage 2'!$E$12,Lookups!$C$144:$D$145,2,FALSE)&amp;"|"&amp;VLOOKUP('Stage 2'!$E$11,Lookups!$C$104:$E$126,3,FALSE)&amp;"|"&amp;VLOOKUP('Stage 2'!$E$10,Lookups!$C$135:$D$140,2,FALSE)))),Lookups!$H$19:$J$100,3,FALSE))</f>
        <v/>
      </c>
      <c r="G20" s="124"/>
    </row>
    <row r="21" spans="1:7" x14ac:dyDescent="0.25">
      <c r="A21" s="153"/>
      <c r="B21" s="1"/>
      <c r="C21" s="110"/>
      <c r="D21" s="119"/>
      <c r="E21" s="78" t="str">
        <f>IF(OR(ISBLANK(C21),ISBLANK(D21)),"",D21*VLOOKUP((IF(OR(C21="Residential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2'!$E$11,Lookups!$C$104:$E$126,3,FALSE)&amp;"|"&amp;VLOOKUP('Stage 2'!$E$10,Lookups!$C$135:$D$140,2,FALSE)))),Lookups!$H$19:$J$100,2,FALSE))</f>
        <v/>
      </c>
      <c r="F21" s="77" t="str">
        <f>IF(OR(ISBLANK(C21),ISBLANK(D21)),"",D21*VLOOKUP((IF(OR(C21="Residential urban land",C21="Commercial/industrial urban land",C21="Open urban land",C21="Greenspace",C21="Community food growing",C21="Woodland",C21="Shrub", C21="Water"), "|||"&amp;C21, (VLOOKUP('Stage 2'!$E$9,Lookups!$C$130:$D$130,2,FALSE)&amp;"|"&amp;C21&amp;"|"&amp;VLOOKUP('Stage 2'!$E$12,Lookups!$C$144:$D$145,2,FALSE)&amp;"|"&amp;VLOOKUP('Stage 2'!$E$11,Lookups!$C$104:$E$126,3,FALSE)&amp;"|"&amp;VLOOKUP('Stage 2'!$E$10,Lookups!$C$135:$D$140,2,FALSE)))),Lookups!$H$19:$J$100,3,FALSE))</f>
        <v/>
      </c>
      <c r="G21" s="124"/>
    </row>
    <row r="22" spans="1:7" x14ac:dyDescent="0.25">
      <c r="A22" s="153"/>
      <c r="B22" s="1"/>
      <c r="C22" s="110"/>
      <c r="D22" s="119"/>
      <c r="E22" s="78" t="str">
        <f>IF(OR(ISBLANK(C22),ISBLANK(D22)),"",D22*VLOOKUP((IF(OR(C22="Residential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2'!$E$11,Lookups!$C$104:$E$126,3,FALSE)&amp;"|"&amp;VLOOKUP('Stage 2'!$E$10,Lookups!$C$135:$D$140,2,FALSE)))),Lookups!$H$19:$J$100,2,FALSE))</f>
        <v/>
      </c>
      <c r="F22" s="77" t="str">
        <f>IF(OR(ISBLANK(C22),ISBLANK(D22)),"",D22*VLOOKUP((IF(OR(C22="Residential urban land",C22="Commercial/industrial urban land",C22="Open urban land",C22="Greenspace",C22="Community food growing",C22="Woodland",C22="Shrub", C22="Water"), "|||"&amp;C22, (VLOOKUP('Stage 2'!$E$9,Lookups!$C$130:$D$130,2,FALSE)&amp;"|"&amp;C22&amp;"|"&amp;VLOOKUP('Stage 2'!$E$12,Lookups!$C$144:$D$145,2,FALSE)&amp;"|"&amp;VLOOKUP('Stage 2'!$E$11,Lookups!$C$104:$E$126,3,FALSE)&amp;"|"&amp;VLOOKUP('Stage 2'!$E$10,Lookups!$C$135:$D$140,2,FALSE)))),Lookups!$H$19:$J$100,3,FALSE))</f>
        <v/>
      </c>
      <c r="G22" s="124"/>
    </row>
    <row r="23" spans="1:7" x14ac:dyDescent="0.25">
      <c r="A23" s="153"/>
      <c r="B23" s="1"/>
      <c r="C23" s="110"/>
      <c r="D23" s="120"/>
      <c r="E23" s="78" t="str">
        <f>IF(OR(ISBLANK(C23),ISBLANK(D23)),"",D23*VLOOKUP((IF(OR(C23="Residential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2'!$E$11,Lookups!$C$104:$E$126,3,FALSE)&amp;"|"&amp;VLOOKUP('Stage 2'!$E$10,Lookups!$C$135:$D$140,2,FALSE)))),Lookups!$H$19:$J$100,2,FALSE))</f>
        <v/>
      </c>
      <c r="F23" s="77" t="str">
        <f>IF(OR(ISBLANK(C23),ISBLANK(D23)),"",D23*VLOOKUP((IF(OR(C23="Residential urban land",C23="Commercial/industrial urban land",C23="Open urban land",C23="Greenspace",C23="Community food growing",C23="Woodland",C23="Shrub", C23="Water"), "|||"&amp;C23, (VLOOKUP('Stage 2'!$E$9,Lookups!$C$130:$D$130,2,FALSE)&amp;"|"&amp;C23&amp;"|"&amp;VLOOKUP('Stage 2'!$E$12,Lookups!$C$144:$D$145,2,FALSE)&amp;"|"&amp;VLOOKUP('Stage 2'!$E$11,Lookups!$C$104:$E$126,3,FALSE)&amp;"|"&amp;VLOOKUP('Stage 2'!$E$10,Lookups!$C$135:$D$140,2,FALSE)))),Lookups!$H$19:$J$100,3,FALSE))</f>
        <v/>
      </c>
      <c r="G23" s="124"/>
    </row>
    <row r="24" spans="1:7" x14ac:dyDescent="0.25">
      <c r="A24" s="153"/>
      <c r="B24" s="1"/>
      <c r="C24" s="110"/>
      <c r="D24" s="118"/>
      <c r="E24" s="78" t="str">
        <f>IF(OR(ISBLANK(C24),ISBLANK(D24)),"",D24*VLOOKUP((IF(OR(C24="Residential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2'!$E$11,Lookups!$C$104:$E$126,3,FALSE)&amp;"|"&amp;VLOOKUP('Stage 2'!$E$10,Lookups!$C$135:$D$140,2,FALSE)))),Lookups!$H$19:$J$100,2,FALSE))</f>
        <v/>
      </c>
      <c r="F24" s="77" t="str">
        <f>IF(OR(ISBLANK(C24),ISBLANK(D24)),"",D24*VLOOKUP((IF(OR(C24="Residential urban land",C24="Commercial/industrial urban land",C24="Open urban land",C24="Greenspace",C24="Community food growing",C24="Woodland",C24="Shrub", C24="Water"), "|||"&amp;C24, (VLOOKUP('Stage 2'!$E$9,Lookups!$C$130:$D$130,2,FALSE)&amp;"|"&amp;C24&amp;"|"&amp;VLOOKUP('Stage 2'!$E$12,Lookups!$C$144:$D$145,2,FALSE)&amp;"|"&amp;VLOOKUP('Stage 2'!$E$11,Lookups!$C$104:$E$126,3,FALSE)&amp;"|"&amp;VLOOKUP('Stage 2'!$E$10,Lookups!$C$135:$D$140,2,FALSE)))),Lookups!$H$19:$J$100,3,FALSE))</f>
        <v/>
      </c>
      <c r="G24" s="124"/>
    </row>
    <row r="25" spans="1:7" x14ac:dyDescent="0.25">
      <c r="A25" s="153"/>
      <c r="B25" s="1"/>
      <c r="C25" s="110"/>
      <c r="D25" s="118"/>
      <c r="E25" s="78" t="str">
        <f>IF(OR(ISBLANK(C25),ISBLANK(D25)),"",D25*VLOOKUP((IF(OR(C25="Residential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2'!$E$11,Lookups!$C$104:$E$126,3,FALSE)&amp;"|"&amp;VLOOKUP('Stage 2'!$E$10,Lookups!$C$135:$D$140,2,FALSE)))),Lookups!$H$19:$J$100,2,FALSE))</f>
        <v/>
      </c>
      <c r="F25" s="77" t="str">
        <f>IF(OR(ISBLANK(C25),ISBLANK(D25)),"",D25*VLOOKUP((IF(OR(C25="Residential urban land",C25="Commercial/industrial urban land",C25="Open urban land",C25="Greenspace",C25="Community food growing",C25="Woodland",C25="Shrub", C25="Water"), "|||"&amp;C25, (VLOOKUP('Stage 2'!$E$9,Lookups!$C$130:$D$130,2,FALSE)&amp;"|"&amp;C25&amp;"|"&amp;VLOOKUP('Stage 2'!$E$12,Lookups!$C$144:$D$145,2,FALSE)&amp;"|"&amp;VLOOKUP('Stage 2'!$E$11,Lookups!$C$104:$E$126,3,FALSE)&amp;"|"&amp;VLOOKUP('Stage 2'!$E$10,Lookups!$C$135:$D$140,2,FALSE)))),Lookups!$H$19:$J$100,3,FALSE))</f>
        <v/>
      </c>
      <c r="G25" s="124"/>
    </row>
    <row r="26" spans="1:7" ht="15.75" thickBot="1" x14ac:dyDescent="0.3">
      <c r="A26" s="153"/>
      <c r="B26" s="1"/>
      <c r="C26" s="121"/>
      <c r="D26" s="122"/>
      <c r="E26" s="79" t="str">
        <f>IF(OR(ISBLANK(C26),ISBLANK(D26)),"",D26*VLOOKUP((IF(OR(C26="Residential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2'!$E$11,Lookups!$C$104:$E$126,3,FALSE)&amp;"|"&amp;VLOOKUP('Stage 2'!$E$10,Lookups!$C$135:$D$140,2,FALSE)))),Lookups!$H$19:$J$100,2,FALSE))</f>
        <v/>
      </c>
      <c r="F26" s="215" t="str">
        <f>IF(OR(ISBLANK(C26),ISBLANK(D26)),"",D26*VLOOKUP((IF(OR(C26="Residential urban land",C26="Commercial/industrial urban land",C26="Open urban land",C26="Greenspace",C26="Community food growing",C26="Woodland",C26="Shrub", C26="Water"), "|||"&amp;C26, (VLOOKUP('Stage 2'!$E$9,Lookups!$C$130:$D$130,2,FALSE)&amp;"|"&amp;C26&amp;"|"&amp;VLOOKUP('Stage 2'!$E$12,Lookups!$C$144:$D$145,2,FALSE)&amp;"|"&amp;VLOOKUP('Stage 2'!$E$11,Lookups!$C$104:$E$126,3,FALSE)&amp;"|"&amp;VLOOKUP('Stage 2'!$E$10,Lookups!$C$135:$D$140,2,FALSE)))),Lookups!$H$19:$J$100,3,FALSE))</f>
        <v/>
      </c>
      <c r="G26" s="124"/>
    </row>
    <row r="27" spans="1:7" x14ac:dyDescent="0.25">
      <c r="A27" s="153"/>
      <c r="B27" s="1"/>
      <c r="C27" s="71" t="s">
        <v>118</v>
      </c>
      <c r="D27" s="144">
        <f>SUM(D10:D26)</f>
        <v>0</v>
      </c>
      <c r="E27" s="103">
        <f>SUM(E10:E26)</f>
        <v>0</v>
      </c>
      <c r="F27" s="104">
        <f>SUM(F10:F26)</f>
        <v>0</v>
      </c>
      <c r="G27" s="124"/>
    </row>
    <row r="28" spans="1:7" ht="15.75" thickBot="1" x14ac:dyDescent="0.3">
      <c r="A28" s="153"/>
      <c r="B28" s="167"/>
      <c r="C28" s="149"/>
      <c r="D28" s="149"/>
      <c r="E28" s="149"/>
      <c r="F28" s="149"/>
      <c r="G28" s="150"/>
    </row>
    <row r="29" spans="1:7" ht="15.75" thickTop="1" x14ac:dyDescent="0.25"/>
  </sheetData>
  <sheetProtection algorithmName="SHA-512" hashValue="a7/N1KQkYuGDdCZ/ThujyoWXk8HlBCgdUTk00kslTu6wPxpt0EM2GbeBDIBYOdtJ2DG9qFzn/WRsnVzIfBlGTA==" saltValue="mZ5+gmD6b6Bm73OXYe6OTA==" spinCount="100000" sheet="1" selectLockedCells="1"/>
  <protectedRanges>
    <protectedRange algorithmName="SHA-512" hashValue="MvmTLotpKiuRnedI3A4NjKJPVt4Aw8hcOvmE+D0rBMjM9TiU4ekXkprnHN0k9oVg0inb+CLcUsLFrJxBFcC6uw==" saltValue="93Zg0snhziumGVhjlXa2zg==" spinCount="100000" sqref="C10:D26" name="Range1"/>
  </protectedRanges>
  <mergeCells count="2">
    <mergeCell ref="B3:G5"/>
    <mergeCell ref="C7:F7"/>
  </mergeCells>
  <dataValidations xWindow="214" yWindow="437" count="1">
    <dataValidation allowBlank="1" showInputMessage="1" showErrorMessage="1" prompt="Please enter area in hectares." sqref="D10:D26" xr:uid="{F230AB9C-8339-4373-B4B8-7B45A3D33AEE}"/>
  </dataValidations>
  <pageMargins left="0.7" right="0.7" top="0.75" bottom="0.75" header="0.3" footer="0.3"/>
  <extLst>
    <ext xmlns:x14="http://schemas.microsoft.com/office/spreadsheetml/2009/9/main" uri="{CCE6A557-97BC-4b89-ADB6-D9C93CAAB3DF}">
      <x14:dataValidations xmlns:xm="http://schemas.microsoft.com/office/excel/2006/main" xWindow="214" yWindow="437" count="2">
        <x14:dataValidation type="list" allowBlank="1" showInputMessage="1" showErrorMessage="1" errorTitle="Landcover" error="Please select all pre exisitng landcover types." prompt="Select exisiting (post-development) land use types from the drop down list." xr:uid="{FA0D53B1-FD66-49E4-975D-2D0980FA619E}">
          <x14:formula1>
            <xm:f>Lookups!$G$139:$G$146</xm:f>
          </x14:formula1>
          <xm:sqref>C11:C26</xm:sqref>
        </x14:dataValidation>
        <x14:dataValidation type="list" allowBlank="1" showInputMessage="1" showErrorMessage="1" errorTitle="Landcover" error="Please select all pre exisitng landcover types." prompt="Select post-development land use types from the drop down list." xr:uid="{1AF01F13-11D5-4733-B94A-D50AFED257B9}">
          <x14:formula1>
            <xm:f>Lookups!$G$139:$G$146</xm:f>
          </x14:formula1>
          <xm:sqref>C10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082EE-826E-403B-BCD4-7E1A897AA803}">
  <dimension ref="B2:L33"/>
  <sheetViews>
    <sheetView showRowColHeaders="0" zoomScaleNormal="100" workbookViewId="0">
      <selection activeCell="G22" sqref="G22:G25"/>
    </sheetView>
  </sheetViews>
  <sheetFormatPr defaultColWidth="9.140625" defaultRowHeight="15" x14ac:dyDescent="0.25"/>
  <cols>
    <col min="1" max="1" width="9.140625" style="152"/>
    <col min="2" max="2" width="4.85546875" style="152" customWidth="1"/>
    <col min="3" max="3" width="30.42578125" style="152" customWidth="1"/>
    <col min="4" max="4" width="26.85546875" style="152" customWidth="1"/>
    <col min="5" max="5" width="9.140625" style="152"/>
    <col min="6" max="6" width="22.140625" style="152" customWidth="1"/>
    <col min="7" max="7" width="23.28515625" style="152" customWidth="1"/>
    <col min="8" max="10" width="9.140625" style="152"/>
    <col min="11" max="11" width="7.140625" style="152" customWidth="1"/>
    <col min="12" max="16384" width="9.140625" style="152"/>
  </cols>
  <sheetData>
    <row r="2" spans="2:12" ht="15.75" thickBot="1" x14ac:dyDescent="0.3"/>
    <row r="3" spans="2:12" ht="15.75" thickTop="1" x14ac:dyDescent="0.25">
      <c r="B3" s="281" t="s">
        <v>123</v>
      </c>
      <c r="C3" s="282"/>
      <c r="D3" s="282"/>
      <c r="E3" s="282"/>
      <c r="F3" s="282"/>
      <c r="G3" s="282"/>
      <c r="H3" s="283"/>
    </row>
    <row r="4" spans="2:12" x14ac:dyDescent="0.25">
      <c r="B4" s="268"/>
      <c r="C4" s="269"/>
      <c r="D4" s="269"/>
      <c r="E4" s="269"/>
      <c r="F4" s="269"/>
      <c r="G4" s="269"/>
      <c r="H4" s="270"/>
    </row>
    <row r="5" spans="2:12" x14ac:dyDescent="0.25">
      <c r="B5" s="268"/>
      <c r="C5" s="269"/>
      <c r="D5" s="269"/>
      <c r="E5" s="269"/>
      <c r="F5" s="269"/>
      <c r="G5" s="269"/>
      <c r="H5" s="270"/>
    </row>
    <row r="6" spans="2:12" ht="17.25" x14ac:dyDescent="0.25">
      <c r="B6" s="146"/>
      <c r="C6" s="1"/>
      <c r="D6" s="1"/>
      <c r="E6" s="1"/>
      <c r="F6" s="1"/>
      <c r="G6" s="1"/>
      <c r="H6" s="124"/>
      <c r="L6" s="159"/>
    </row>
    <row r="7" spans="2:12" ht="18" x14ac:dyDescent="0.25">
      <c r="B7" s="146"/>
      <c r="C7" s="277" t="s">
        <v>124</v>
      </c>
      <c r="D7" s="277"/>
      <c r="E7" s="1"/>
      <c r="F7" s="1"/>
      <c r="G7" s="1"/>
      <c r="H7" s="124"/>
      <c r="L7" s="159"/>
    </row>
    <row r="8" spans="2:12" ht="18" hidden="1" customHeight="1" x14ac:dyDescent="0.35">
      <c r="B8" s="146"/>
      <c r="C8" s="1"/>
      <c r="D8" s="1"/>
      <c r="E8" s="1"/>
      <c r="F8" s="1"/>
      <c r="G8" s="1"/>
      <c r="H8" s="183"/>
      <c r="I8" s="186"/>
      <c r="J8" s="187"/>
      <c r="L8" s="161"/>
    </row>
    <row r="9" spans="2:12" ht="12" hidden="1" customHeight="1" x14ac:dyDescent="0.35">
      <c r="B9" s="146"/>
      <c r="C9" s="1"/>
      <c r="D9" s="1"/>
      <c r="E9" s="1"/>
      <c r="F9" s="1"/>
      <c r="G9" s="1"/>
      <c r="H9" s="184"/>
      <c r="I9" s="188"/>
      <c r="J9" s="189"/>
      <c r="L9" s="161"/>
    </row>
    <row r="10" spans="2:12" ht="18" hidden="1" thickBot="1" x14ac:dyDescent="0.4">
      <c r="B10" s="146"/>
      <c r="C10" s="68" t="s">
        <v>125</v>
      </c>
      <c r="D10" s="98">
        <f>'Stage 1'!D30</f>
        <v>2.36682E-2</v>
      </c>
      <c r="E10" s="22"/>
      <c r="F10" s="1"/>
      <c r="G10" s="1"/>
      <c r="H10" s="184"/>
      <c r="I10" s="188"/>
      <c r="J10" s="189"/>
      <c r="L10" s="161"/>
    </row>
    <row r="11" spans="2:12" ht="21" hidden="1" customHeight="1" thickBot="1" x14ac:dyDescent="0.4">
      <c r="B11" s="146"/>
      <c r="C11" s="69" t="s">
        <v>126</v>
      </c>
      <c r="D11" s="99">
        <f>'Stage 3'!E27-'Stage 2'!E32</f>
        <v>0</v>
      </c>
      <c r="E11" s="24"/>
      <c r="F11" s="1"/>
      <c r="G11" s="1"/>
      <c r="H11" s="184"/>
      <c r="I11" s="190"/>
      <c r="J11" s="189"/>
      <c r="K11" s="159"/>
      <c r="L11" s="162"/>
    </row>
    <row r="12" spans="2:12" ht="18" hidden="1" thickBot="1" x14ac:dyDescent="0.3">
      <c r="B12" s="146"/>
      <c r="C12" s="69" t="s">
        <v>127</v>
      </c>
      <c r="D12" s="65">
        <f>D10+D11</f>
        <v>2.36682E-2</v>
      </c>
      <c r="E12" s="25"/>
      <c r="F12" s="1"/>
      <c r="G12" s="1"/>
      <c r="H12" s="164"/>
      <c r="I12" s="191"/>
      <c r="J12" s="161"/>
      <c r="K12" s="161"/>
      <c r="L12" s="162"/>
    </row>
    <row r="13" spans="2:12" ht="29.25" hidden="1" customHeight="1" x14ac:dyDescent="0.25">
      <c r="B13" s="146"/>
      <c r="C13" s="15" t="s">
        <v>128</v>
      </c>
      <c r="D13" s="100">
        <f>D12*1.2</f>
        <v>2.8401839999999998E-2</v>
      </c>
      <c r="E13" s="26"/>
      <c r="F13" s="1"/>
      <c r="G13" s="1"/>
      <c r="H13" s="166"/>
      <c r="I13" s="192"/>
      <c r="J13" s="162"/>
      <c r="K13" s="162"/>
    </row>
    <row r="14" spans="2:12" ht="11.25" hidden="1" customHeight="1" x14ac:dyDescent="0.25">
      <c r="B14" s="146"/>
      <c r="C14" s="22"/>
      <c r="D14" s="185"/>
      <c r="E14" s="22"/>
      <c r="F14" s="1"/>
      <c r="G14" s="1"/>
      <c r="H14" s="124"/>
    </row>
    <row r="15" spans="2:12" hidden="1" x14ac:dyDescent="0.25">
      <c r="B15" s="146"/>
      <c r="C15" s="22"/>
      <c r="D15" s="185"/>
      <c r="E15" s="22"/>
      <c r="F15" s="1"/>
      <c r="G15" s="1"/>
      <c r="H15" s="124"/>
    </row>
    <row r="16" spans="2:12" ht="15.75" hidden="1" thickBot="1" x14ac:dyDescent="0.3">
      <c r="B16" s="146"/>
      <c r="C16" s="68" t="s">
        <v>129</v>
      </c>
      <c r="D16" s="98">
        <f>'Stage 1'!D35</f>
        <v>2.5561656000000004</v>
      </c>
      <c r="E16" s="22"/>
      <c r="F16" s="1"/>
      <c r="G16" s="1"/>
      <c r="H16" s="124"/>
    </row>
    <row r="17" spans="2:8" ht="15.75" hidden="1" thickBot="1" x14ac:dyDescent="0.3">
      <c r="B17" s="146"/>
      <c r="C17" s="69" t="s">
        <v>130</v>
      </c>
      <c r="D17" s="101">
        <f>'Stage 3'!F27-'Stage 2'!F32</f>
        <v>0</v>
      </c>
      <c r="E17" s="22"/>
      <c r="F17" s="1"/>
      <c r="G17" s="1"/>
      <c r="H17" s="124"/>
    </row>
    <row r="18" spans="2:8" ht="15.75" hidden="1" thickBot="1" x14ac:dyDescent="0.3">
      <c r="B18" s="146"/>
      <c r="C18" s="67" t="s">
        <v>131</v>
      </c>
      <c r="D18" s="88">
        <f>D16+D17</f>
        <v>2.5561656000000004</v>
      </c>
      <c r="E18" s="18"/>
      <c r="F18" s="1"/>
      <c r="G18" s="1"/>
      <c r="H18" s="124"/>
    </row>
    <row r="19" spans="2:8" hidden="1" x14ac:dyDescent="0.25">
      <c r="B19" s="146"/>
      <c r="C19" s="15" t="s">
        <v>132</v>
      </c>
      <c r="D19" s="100">
        <f>D18*1.2</f>
        <v>3.0673987200000004</v>
      </c>
      <c r="E19" s="18"/>
      <c r="F19" s="1"/>
      <c r="G19" s="1"/>
      <c r="H19" s="124"/>
    </row>
    <row r="20" spans="2:8" ht="17.25" x14ac:dyDescent="0.25">
      <c r="B20" s="146"/>
      <c r="C20" s="9"/>
      <c r="D20" s="11"/>
      <c r="E20" s="12"/>
      <c r="F20" s="1"/>
      <c r="G20" s="1"/>
      <c r="H20" s="124"/>
    </row>
    <row r="21" spans="2:8" ht="24.75" customHeight="1" x14ac:dyDescent="0.25">
      <c r="B21" s="146"/>
      <c r="C21" s="284" t="str">
        <f>IFERROR(IF(AND('Stage 1'!$D$9&lt;DATE(2025,1,1),OR((VLOOKUP('Stage 1'!$D$14,Lookups!$C$8:$G$13,2,FALSE))&gt;(VLOOKUP('Stage 1'!$D$14,Lookups!$C$8:$G$13,4,FALSE)),(VLOOKUP('Stage 1'!$D$14,Lookups!$C$8:$G$13,3,FALSE))&gt;(VLOOKUP('Stage 1'!$D$14,Lookups!$C$8:$G$13,5,FALSE)))),"Post-2025 Annual Nutrient Budget","Annual Nutrient Budget"),"")</f>
        <v>Post-2025 Annual Nutrient Budget</v>
      </c>
      <c r="D21" s="284"/>
      <c r="E21" s="12"/>
      <c r="F21" s="284" t="str">
        <f>IFERROR(IF(AND('Stage 1'!$D$9&lt;DATE(2025,1,1),OR((VLOOKUP('Stage 1'!$D$14,Lookups!$C$8:$G$13,2,FALSE))&gt;(VLOOKUP('Stage 1'!$D$14,Lookups!$C$8:$G$13,4,FALSE)),(VLOOKUP('Stage 1'!$D$14,Lookups!$C$8:$G$13,3,FALSE))&gt;(VLOOKUP('Stage 1'!$D$14,Lookups!$C$8:$G$13,5,FALSE)))),"Pre-2025 Annual Nutrient Budget",""),"")</f>
        <v>Pre-2025 Annual Nutrient Budget</v>
      </c>
      <c r="G21" s="284"/>
      <c r="H21" s="124"/>
    </row>
    <row r="22" spans="2:8" ht="15" customHeight="1" x14ac:dyDescent="0.25">
      <c r="B22" s="146"/>
      <c r="C22" s="279" t="s">
        <v>133</v>
      </c>
      <c r="D22" s="280" t="str">
        <f>IF(ROUND(D13,2)&lt;0,0&amp;" kg TP/year",ROUND(D13,2)&amp;" kg TP/year")</f>
        <v>0.03 kg TP/year</v>
      </c>
      <c r="E22" s="1"/>
      <c r="F22" s="279" t="str">
        <f>IFERROR(IF(AND('Stage 1'!$D$9&lt;DATE(2025,1,1),OR((VLOOKUP('Stage 1'!$D$14,Lookups!$C$8:$G$13,2,FALSE))&gt;(VLOOKUP('Stage 1'!$D$14,Lookups!$C$8:$G$13,4,FALSE)),(VLOOKUP('Stage 1'!$D$14,Lookups!$C$8:$G$13,3,FALSE))&gt;(VLOOKUP('Stage 1'!$D$14,Lookups!$C$8:$G$13,5,FALSE)))),"The pre-2025 annual phosphorus load to mitigate is:",""),"")</f>
        <v>The pre-2025 annual phosphorus load to mitigate is:</v>
      </c>
      <c r="G22" s="278" t="str">
        <f>IFERROR(IF(AND('Stage 1'!$D$9&lt;DATE(2025,1,1),OR((VLOOKUP('Stage 1'!$D$14,Lookups!$C$8:$G$13,2,FALSE))&gt;(VLOOKUP('Stage 1'!$D$14,Lookups!$C$8:$G$13,4,FALSE)),(VLOOKUP('Stage 1'!$D$14,Lookups!$C$8:$G$13,3,FALSE))&gt;(VLOOKUP('Stage 1'!$D$14,Lookups!$C$8:$G$13,5,FALSE)))),IF(ROUND(('Stage 3'!E27-'Stage 2'!E32+'Stage 1'!H23)*1.2,2)&lt;0,0&amp;" kg TP/year",ROUND(('Stage 3'!E27-'Stage 2'!E32+'Stage 1'!H23)*1.2,2)&amp;" kg TP/year"),""),"")</f>
        <v>0.11 kg TP/year</v>
      </c>
      <c r="H22" s="124"/>
    </row>
    <row r="23" spans="2:8" ht="15" customHeight="1" x14ac:dyDescent="0.25">
      <c r="B23" s="146"/>
      <c r="C23" s="279"/>
      <c r="D23" s="280"/>
      <c r="E23" s="1"/>
      <c r="F23" s="279"/>
      <c r="G23" s="278"/>
      <c r="H23" s="124"/>
    </row>
    <row r="24" spans="2:8" ht="15" customHeight="1" x14ac:dyDescent="0.25">
      <c r="B24" s="146"/>
      <c r="C24" s="279"/>
      <c r="D24" s="280"/>
      <c r="E24" s="1"/>
      <c r="F24" s="279"/>
      <c r="G24" s="278"/>
      <c r="H24" s="124"/>
    </row>
    <row r="25" spans="2:8" ht="15" customHeight="1" x14ac:dyDescent="0.25">
      <c r="B25" s="146"/>
      <c r="C25" s="279"/>
      <c r="D25" s="280"/>
      <c r="E25" s="1"/>
      <c r="F25" s="279"/>
      <c r="G25" s="278"/>
      <c r="H25" s="124"/>
    </row>
    <row r="26" spans="2:8" ht="15" customHeight="1" x14ac:dyDescent="0.25">
      <c r="B26" s="146"/>
      <c r="C26" s="22"/>
      <c r="D26" s="54"/>
      <c r="E26" s="1"/>
      <c r="F26" s="1"/>
      <c r="G26" s="1"/>
      <c r="H26" s="124"/>
    </row>
    <row r="27" spans="2:8" x14ac:dyDescent="0.25">
      <c r="B27" s="146"/>
      <c r="C27" s="22"/>
      <c r="D27" s="54"/>
      <c r="E27" s="1"/>
      <c r="F27" s="84"/>
      <c r="G27" s="1"/>
      <c r="H27" s="124"/>
    </row>
    <row r="28" spans="2:8" ht="15" customHeight="1" x14ac:dyDescent="0.25">
      <c r="B28" s="146"/>
      <c r="C28" s="279" t="s">
        <v>134</v>
      </c>
      <c r="D28" s="280" t="str">
        <f>IF(ROUND(D19,2)&lt;0,0&amp;" kg TN/year",ROUND(D19,2)&amp;" kg TN/year")</f>
        <v>3.07 kg TN/year</v>
      </c>
      <c r="E28" s="1"/>
      <c r="F28" s="279" t="str">
        <f>IFERROR(IF(AND('Stage 1'!$D$9&lt;DATE(2025,1,1),OR((VLOOKUP('Stage 1'!$D$14,Lookups!$C$8:$G$13,2,FALSE))&gt;(VLOOKUP('Stage 1'!$D$14,Lookups!$C$8:$G$13,4,FALSE)),(VLOOKUP('Stage 1'!$D$14,Lookups!$C$8:$G$13,3,FALSE))&gt;(VLOOKUP('Stage 1'!$D$14,Lookups!$C$8:$G$13,5,FALSE)))),"The pre-2025 annual nitrogen load to mitigate is:",""),"")</f>
        <v>The pre-2025 annual nitrogen load to mitigate is:</v>
      </c>
      <c r="G28" s="278" t="str">
        <f>IFERROR(IF(AND('Stage 1'!$D$9&lt;DATE(2025,1,1),OR((VLOOKUP('Stage 1'!$D$14,Lookups!$C$8:$G$13,2,FALSE))&gt;(VLOOKUP('Stage 1'!$D$14,Lookups!$C$8:$G$13,4,FALSE)),(VLOOKUP('Stage 1'!$D$14,Lookups!$C$8:$G$13,3,FALSE))&gt;(VLOOKUP('Stage 1'!$D$14,Lookups!$C$8:$G$13,5,FALSE)))),IF(ROUND(('Stage 3'!F27-'Stage 2'!F32+'Stage 1'!H24)*1.2,2)&lt;0,0&amp;" kg TN/year",ROUND(('Stage 3'!F27-'Stage 2'!F32+'Stage 1'!H24)*1.2,2)&amp;" kg TN/year"),""),"")</f>
        <v>3.07 kg TN/year</v>
      </c>
      <c r="H28" s="124"/>
    </row>
    <row r="29" spans="2:8" ht="15.75" customHeight="1" x14ac:dyDescent="0.25">
      <c r="B29" s="146"/>
      <c r="C29" s="279"/>
      <c r="D29" s="280"/>
      <c r="E29" s="1"/>
      <c r="F29" s="279"/>
      <c r="G29" s="278"/>
      <c r="H29" s="124"/>
    </row>
    <row r="30" spans="2:8" ht="15" customHeight="1" x14ac:dyDescent="0.25">
      <c r="B30" s="146"/>
      <c r="C30" s="279"/>
      <c r="D30" s="280"/>
      <c r="E30" s="1"/>
      <c r="F30" s="279"/>
      <c r="G30" s="278"/>
      <c r="H30" s="124"/>
    </row>
    <row r="31" spans="2:8" ht="15.75" customHeight="1" x14ac:dyDescent="0.25">
      <c r="B31" s="146"/>
      <c r="C31" s="279"/>
      <c r="D31" s="280"/>
      <c r="E31" s="1"/>
      <c r="F31" s="279"/>
      <c r="G31" s="278"/>
      <c r="H31" s="124"/>
    </row>
    <row r="32" spans="2:8" ht="15.75" thickBot="1" x14ac:dyDescent="0.3">
      <c r="B32" s="167"/>
      <c r="C32" s="149"/>
      <c r="D32" s="149"/>
      <c r="E32" s="149"/>
      <c r="F32" s="149"/>
      <c r="G32" s="149"/>
      <c r="H32" s="150"/>
    </row>
    <row r="33" ht="15.75" thickTop="1" x14ac:dyDescent="0.25"/>
  </sheetData>
  <sheetProtection algorithmName="SHA-512" hashValue="MFj6Y7Du1ZLXpTbRbDtPhb1Ebr39dopMVN7y7ksOYGRSDiBwWiou2jwQ9woHTDBzcgsJxXfEeCaL6hE3Q4MXqA==" saltValue="XyM1umsfAN+lnrKjt+FO6Q==" spinCount="100000" sheet="1" selectLockedCells="1" selectUnlockedCells="1"/>
  <mergeCells count="12">
    <mergeCell ref="B3:H5"/>
    <mergeCell ref="C7:D7"/>
    <mergeCell ref="F21:G21"/>
    <mergeCell ref="F22:F25"/>
    <mergeCell ref="G22:G25"/>
    <mergeCell ref="C21:D21"/>
    <mergeCell ref="G28:G31"/>
    <mergeCell ref="C22:C25"/>
    <mergeCell ref="C28:C31"/>
    <mergeCell ref="D22:D25"/>
    <mergeCell ref="D28:D31"/>
    <mergeCell ref="F28:F31"/>
  </mergeCells>
  <conditionalFormatting sqref="G22:G25">
    <cfRule type="expression" dxfId="1" priority="2">
      <formula>($C$21="Post-2025 Annual Nutrient Budget")</formula>
    </cfRule>
  </conditionalFormatting>
  <conditionalFormatting sqref="G28:G31">
    <cfRule type="expression" dxfId="0" priority="1">
      <formula>($C$21="Post-2025 Annual Nutrient Budget")</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3125CCC-BE42-4D41-A6C3-63F556A5FD41}">
          <x14:formula1>
            <xm:f>'C:\Users\DS56\OneDrive - Ricardo Plc\NE NN\[Copy of Herefordshire Council Phosphate Budget Calculator_Final.xlsx]Stage 2 and 3 lookups'!#REF!</xm:f>
          </x14:formula1>
          <xm:sqref>J9:J11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Strategic solutions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NE</TermName>
          <TermId xmlns="http://schemas.microsoft.com/office/infopath/2007/PartnerControls">275df9ce-cd92-4318-adfe-db572e51c7ff</TermId>
        </TermInfo>
      </Terms>
    </fe59e9859d6a491389c5b03567f5dda5>
    <Team xmlns="662745e8-e224-48e8-a2e3-254862b8c2f5">Natural England Programmes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50608f39-3744-4f2b-8ddf-6077ea9dcf84">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709A144B6CB1247B0EB17D39170EEBB" ma:contentTypeVersion="18" ma:contentTypeDescription="Create a new document." ma:contentTypeScope="" ma:versionID="da7b25ff845ed685cef88b94a81fce37">
  <xsd:schema xmlns:xsd="http://www.w3.org/2001/XMLSchema" xmlns:xs="http://www.w3.org/2001/XMLSchema" xmlns:p="http://schemas.microsoft.com/office/2006/metadata/properties" xmlns:ns2="662745e8-e224-48e8-a2e3-254862b8c2f5" xmlns:ns3="50608f39-3744-4f2b-8ddf-6077ea9dcf84" xmlns:ns4="41b1b97e-58d0-4f82-aacc-4a7d6fa43521" targetNamespace="http://schemas.microsoft.com/office/2006/metadata/properties" ma:root="true" ma:fieldsID="30a27e1fc3ac688e6031ed524353f596" ns2:_="" ns3:_="" ns4:_="">
    <xsd:import namespace="662745e8-e224-48e8-a2e3-254862b8c2f5"/>
    <xsd:import namespace="50608f39-3744-4f2b-8ddf-6077ea9dcf84"/>
    <xsd:import namespace="41b1b97e-58d0-4f82-aacc-4a7d6fa43521"/>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DateTaken" minOccurs="0"/>
                <xsd:element ref="ns3:MediaLengthInSeconds" minOccurs="0"/>
                <xsd:element ref="ns3:MediaServiceAutoTags" minOccurs="0"/>
                <xsd:element ref="ns3:lcf76f155ced4ddcb4097134ff3c332f"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19ba13cf-7d0b-4653-bdd4-d6cd8989d710}" ma:internalName="TaxCatchAll" ma:showField="CatchAllData"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19ba13cf-7d0b-4653-bdd4-d6cd8989d710}" ma:internalName="TaxCatchAllLabel" ma:readOnly="true" ma:showField="CatchAllDataLabel" ma:web="41b1b97e-58d0-4f82-aacc-4a7d6fa43521">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Natural England Programmes" ma:internalName="Team">
      <xsd:simpleType>
        <xsd:restriction base="dms:Text"/>
      </xsd:simpleType>
    </xsd:element>
    <xsd:element name="Topic" ma:index="20" nillable="true" ma:displayName="Topic" ma:default="Strategic solutions" ma:internalName="Topic">
      <xsd:simpleType>
        <xsd:restriction base="dms:Text"/>
      </xsd:simpleType>
    </xsd:element>
    <xsd:element name="ddeb1fd0a9ad4436a96525d34737dc44" ma:index="21" nillable="true" ma:taxonomy="true" ma:internalName="ddeb1fd0a9ad4436a96525d34737dc44" ma:taxonomyFieldName="Distribution" ma:displayName="Distribution"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default="8;#NE|275df9ce-cd92-4318-adfe-db572e51c7ff"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0608f39-3744-4f2b-8ddf-6077ea9dcf84"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LengthInSeconds" ma:index="32" nillable="true" ma:displayName="Length (seconds)" ma:internalName="MediaLengthInSeconds" ma:readOnly="true">
      <xsd:simpleType>
        <xsd:restriction base="dms:Unknown"/>
      </xsd:simpleType>
    </xsd:element>
    <xsd:element name="MediaServiceAutoTags" ma:index="33" nillable="true" ma:displayName="Tags" ma:internalName="MediaServiceAutoTags" ma:readOnly="true">
      <xsd:simpleType>
        <xsd:restriction base="dms:Text"/>
      </xsd:simpleType>
    </xsd:element>
    <xsd:element name="lcf76f155ced4ddcb4097134ff3c332f" ma:index="3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ServiceOCR" ma:index="3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1b1b97e-58d0-4f82-aacc-4a7d6fa43521" elementFormDefault="qualified">
    <xsd:import namespace="http://schemas.microsoft.com/office/2006/documentManagement/types"/>
    <xsd:import namespace="http://schemas.microsoft.com/office/infopath/2007/PartnerControls"/>
    <xsd:element name="SharedWithUsers" ma:index="2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d1117845-93f6-4da3-abaa-fcb4fa669c78" ContentTypeId="0x010100A5BF1C78D9F64B679A5EBDE1C6598EBC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6A12FC-BB1B-4E54-B358-BBABDD5105C6}">
  <ds:schemaRefs>
    <ds:schemaRef ds:uri="http://schemas.microsoft.com/office/2006/metadata/properties"/>
    <ds:schemaRef ds:uri="http://schemas.microsoft.com/office/infopath/2007/PartnerControls"/>
    <ds:schemaRef ds:uri="662745e8-e224-48e8-a2e3-254862b8c2f5"/>
    <ds:schemaRef ds:uri="50608f39-3744-4f2b-8ddf-6077ea9dcf84"/>
  </ds:schemaRefs>
</ds:datastoreItem>
</file>

<file path=customXml/itemProps2.xml><?xml version="1.0" encoding="utf-8"?>
<ds:datastoreItem xmlns:ds="http://schemas.openxmlformats.org/officeDocument/2006/customXml" ds:itemID="{4754400D-E41E-46DA-9D69-46E0F1A3E8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50608f39-3744-4f2b-8ddf-6077ea9dcf84"/>
    <ds:schemaRef ds:uri="41b1b97e-58d0-4f82-aacc-4a7d6fa435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20C4055-CEC6-4863-8ACC-5A85BC7572B5}">
  <ds:schemaRefs>
    <ds:schemaRef ds:uri="Microsoft.SharePoint.Taxonomy.ContentTypeSync"/>
  </ds:schemaRefs>
</ds:datastoreItem>
</file>

<file path=customXml/itemProps4.xml><?xml version="1.0" encoding="utf-8"?>
<ds:datastoreItem xmlns:ds="http://schemas.openxmlformats.org/officeDocument/2006/customXml" ds:itemID="{64C1BBF9-9B3E-4827-BF16-821C5036B8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Intro</vt:lpstr>
      <vt:lpstr>Background</vt:lpstr>
      <vt:lpstr>River Itchen SAC</vt:lpstr>
      <vt:lpstr>Instructions</vt:lpstr>
      <vt:lpstr>Development site details</vt:lpstr>
      <vt:lpstr>Stage 1</vt:lpstr>
      <vt:lpstr>Stage 2</vt:lpstr>
      <vt:lpstr>Stage 3</vt:lpstr>
      <vt:lpstr>Stage 4</vt:lpstr>
      <vt:lpstr>Stage 4 (2)</vt:lpstr>
      <vt:lpstr>Lookups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Sealy, Declan</dc:creator>
  <cp:keywords/>
  <dc:description/>
  <cp:lastModifiedBy>Underwood, Nick (NE)</cp:lastModifiedBy>
  <cp:revision/>
  <dcterms:created xsi:type="dcterms:W3CDTF">2021-10-14T13:24:34Z</dcterms:created>
  <dcterms:modified xsi:type="dcterms:W3CDTF">2022-11-16T07:53:23Z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0x010100A5BF1C78D9F64B679A5EBDE1C6598EBC01001709A144B6CB1247B0EB17D39170EEBB</vt:lpwstr>
  </property>
  <property fmtid="{D5CDD505-2E9C-101B-9397-08002B2CF9AE}" pid="3" name="HOGovernmentSecurityClassification">
    <vt:lpwstr>6;#Official|14c80daa-741b-422c-9722-f71693c9ede4</vt:lpwstr>
  </property>
  <property fmtid="{D5CDD505-2E9C-101B-9397-08002B2CF9AE}" pid="4" name="InformationType">
    <vt:lpwstr/>
  </property>
  <property fmtid="{D5CDD505-2E9C-101B-9397-08002B2CF9AE}" pid="5" name="HOSiteType">
    <vt:lpwstr>10;#Team|ff0485df-0575-416f-802f-e999165821b7</vt:lpwstr>
  </property>
  <property fmtid="{D5CDD505-2E9C-101B-9397-08002B2CF9AE}" pid="6" name="Distribution">
    <vt:lpwstr>9;#Internal Defra Group|0867f7b3-e76e-40ca-bb1f-5ba341a49230</vt:lpwstr>
  </property>
  <property fmtid="{D5CDD505-2E9C-101B-9397-08002B2CF9AE}" pid="7" name="OrganisationalUnit">
    <vt:lpwstr>8;#NE|275df9ce-cd92-4318-adfe-db572e51c7ff</vt:lpwstr>
  </property>
  <property fmtid="{D5CDD505-2E9C-101B-9397-08002B2CF9AE}" pid="8" name="HOCopyrightLevel">
    <vt:lpwstr>7;#Crown|69589897-2828-4761-976e-717fd8e631c9</vt:lpwstr>
  </property>
  <property fmtid="{D5CDD505-2E9C-101B-9397-08002B2CF9AE}" pid="9" name="MediaServiceImageTags">
    <vt:lpwstr/>
  </property>
</Properties>
</file>